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Расчет" sheetId="1" r:id="rId1"/>
  </sheets>
  <definedNames>
    <definedName name="_xlnm.Print_Area" localSheetId="0">'Расчет'!$A$2:$R$214</definedName>
  </definedNames>
  <calcPr fullCalcOnLoad="1"/>
</workbook>
</file>

<file path=xl/comments1.xml><?xml version="1.0" encoding="utf-8"?>
<comments xmlns="http://schemas.openxmlformats.org/spreadsheetml/2006/main">
  <authors>
    <author>Саша</author>
    <author>Yurij</author>
  </authors>
  <commentList>
    <comment ref="H31" authorId="0">
      <text>
        <r>
          <rPr>
            <b/>
            <sz val="8"/>
            <rFont val="Tahoma"/>
            <family val="0"/>
          </rPr>
          <t>Для высокоуглеродистых 0,2-0,3%
Для средне- и низкоуглеродистых 0,2-0,5%</t>
        </r>
        <r>
          <rPr>
            <sz val="8"/>
            <rFont val="Tahoma"/>
            <family val="0"/>
          </rPr>
          <t xml:space="preserve">
</t>
        </r>
      </text>
    </comment>
    <comment ref="H32" authorId="0">
      <text>
        <r>
          <rPr>
            <b/>
            <sz val="8"/>
            <rFont val="Tahoma"/>
            <family val="0"/>
          </rPr>
          <t xml:space="preserve">Для высоко- и среднеуглеродистых 0,03%
Для  низкоуглеродистых 0,05%
</t>
        </r>
      </text>
    </comment>
    <comment ref="K37" authorId="0">
      <text>
        <r>
          <rPr>
            <b/>
            <sz val="8"/>
            <rFont val="Tahoma"/>
            <family val="0"/>
          </rPr>
          <t>Обычно снижается содержание на 60-80%</t>
        </r>
        <r>
          <rPr>
            <sz val="8"/>
            <rFont val="Tahoma"/>
            <family val="0"/>
          </rPr>
          <t xml:space="preserve">
</t>
        </r>
      </text>
    </comment>
    <comment ref="L37" authorId="0">
      <text>
        <r>
          <rPr>
            <b/>
            <sz val="8"/>
            <rFont val="Tahoma"/>
            <family val="2"/>
          </rPr>
          <t>Удаляется практически весь</t>
        </r>
        <r>
          <rPr>
            <sz val="8"/>
            <rFont val="Tahoma"/>
            <family val="0"/>
          </rPr>
          <t xml:space="preserve">
</t>
        </r>
      </text>
    </comment>
    <comment ref="M37" authorId="0">
      <text>
        <r>
          <rPr>
            <b/>
            <sz val="8"/>
            <rFont val="Tahoma"/>
            <family val="0"/>
          </rPr>
          <t xml:space="preserve">Обычно снижается содержание на 20-30%
</t>
        </r>
        <r>
          <rPr>
            <sz val="8"/>
            <rFont val="Tahoma"/>
            <family val="0"/>
          </rPr>
          <t xml:space="preserve">
</t>
        </r>
      </text>
    </comment>
    <comment ref="F47" authorId="0">
      <text>
        <r>
          <rPr>
            <b/>
            <sz val="8"/>
            <rFont val="Tahoma"/>
            <family val="0"/>
          </rPr>
          <t xml:space="preserve">Должно находится в приделах 4-8 кг. 
Иначе изменить % соотношение состава шихты.
</t>
        </r>
        <r>
          <rPr>
            <sz val="8"/>
            <rFont val="Tahoma"/>
            <family val="0"/>
          </rPr>
          <t xml:space="preserve">
</t>
        </r>
      </text>
    </comment>
    <comment ref="H55" authorId="0">
      <text>
        <r>
          <rPr>
            <b/>
            <sz val="8"/>
            <rFont val="Tahoma"/>
            <family val="0"/>
          </rPr>
          <t>Переходит в газообразную фазу</t>
        </r>
        <r>
          <rPr>
            <sz val="8"/>
            <rFont val="Tahoma"/>
            <family val="0"/>
          </rPr>
          <t xml:space="preserve">
</t>
        </r>
      </text>
    </comment>
    <comment ref="J63" authorId="0">
      <text>
        <r>
          <rPr>
            <b/>
            <sz val="8"/>
            <rFont val="Tahoma"/>
            <family val="0"/>
          </rPr>
          <t xml:space="preserve">В промежутке 0,0025-0,0033
</t>
        </r>
      </text>
    </comment>
    <comment ref="H69" authorId="0">
      <text>
        <r>
          <rPr>
            <b/>
            <sz val="8"/>
            <rFont val="Tahoma"/>
            <family val="0"/>
          </rPr>
          <t xml:space="preserve">0,9-содержание Fe2O3  в железной руде
</t>
        </r>
      </text>
    </comment>
    <comment ref="H71" authorId="0">
      <text>
        <r>
          <rPr>
            <b/>
            <sz val="8"/>
            <rFont val="Tahoma"/>
            <family val="0"/>
          </rPr>
          <t xml:space="preserve">92-содержание CaO в извести
</t>
        </r>
        <r>
          <rPr>
            <sz val="8"/>
            <rFont val="Tahoma"/>
            <family val="0"/>
          </rPr>
          <t xml:space="preserve">
</t>
        </r>
      </text>
    </comment>
    <comment ref="E72" authorId="0">
      <text>
        <r>
          <rPr>
            <b/>
            <sz val="8"/>
            <rFont val="Tahoma"/>
            <family val="0"/>
          </rPr>
          <t xml:space="preserve">Принимаем в приделах 0,6-1,2
</t>
        </r>
      </text>
    </comment>
    <comment ref="E88" authorId="0">
      <text>
        <r>
          <rPr>
            <sz val="8"/>
            <rFont val="Tahoma"/>
            <family val="0"/>
          </rPr>
          <t xml:space="preserve">По практическим данным составляет 0,2-0,3%
</t>
        </r>
      </text>
    </comment>
    <comment ref="K93" authorId="0">
      <text>
        <r>
          <rPr>
            <b/>
            <sz val="8"/>
            <rFont val="Tahoma"/>
            <family val="2"/>
          </rPr>
          <t xml:space="preserve">Должно находится в разумных приделах
</t>
        </r>
        <r>
          <rPr>
            <sz val="8"/>
            <rFont val="Tahoma"/>
            <family val="0"/>
          </rPr>
          <t xml:space="preserve">
</t>
        </r>
      </text>
    </comment>
    <comment ref="E108" authorId="0">
      <text>
        <r>
          <rPr>
            <b/>
            <sz val="8"/>
            <rFont val="Tahoma"/>
            <family val="0"/>
          </rPr>
          <t xml:space="preserve">Коэффициент распределения серы в восстановительный период колеблется 25 до 40
</t>
        </r>
      </text>
    </comment>
    <comment ref="C104" authorId="0">
      <text>
        <r>
          <rPr>
            <b/>
            <sz val="8"/>
            <rFont val="Tahoma"/>
            <family val="0"/>
          </rPr>
          <t xml:space="preserve">50-60
</t>
        </r>
      </text>
    </comment>
    <comment ref="E166" authorId="0">
      <text>
        <r>
          <rPr>
            <b/>
            <sz val="8"/>
            <rFont val="Tahoma"/>
            <family val="0"/>
          </rPr>
          <t>Должна лежать между 2,5-3,5</t>
        </r>
      </text>
    </comment>
    <comment ref="N209" authorId="0">
      <text>
        <r>
          <rPr>
            <b/>
            <sz val="8"/>
            <rFont val="Tahoma"/>
            <family val="0"/>
          </rPr>
          <t xml:space="preserve">С учетом содержания S в коксе 1,7%
</t>
        </r>
      </text>
    </comment>
    <comment ref="B204" authorId="0">
      <text>
        <r>
          <rPr>
            <b/>
            <sz val="8"/>
            <rFont val="Tahoma"/>
            <family val="2"/>
          </rPr>
          <t xml:space="preserve">Принимается 55% FeMo c содержанием: 
С-0,08%, Si-1%, Mo-55%, S-0,1%, P-0,05%
</t>
        </r>
      </text>
    </comment>
    <comment ref="B202" authorId="0">
      <text>
        <r>
          <rPr>
            <b/>
            <sz val="8"/>
            <rFont val="Tahoma"/>
            <family val="0"/>
          </rPr>
          <t xml:space="preserve">ФС75: Si-75%, Mn-0,4%, C-0,3%,S-0,01%, P-0,03%
</t>
        </r>
      </text>
    </comment>
    <comment ref="B203" authorId="0">
      <text>
        <r>
          <rPr>
            <b/>
            <sz val="8"/>
            <rFont val="Tahoma"/>
            <family val="0"/>
          </rPr>
          <t xml:space="preserve">FeMn-75: C-7%, Si-1%,Mn-75%, S-0,02%, P-0,3%
</t>
        </r>
      </text>
    </comment>
    <comment ref="E85" authorId="0">
      <text>
        <r>
          <rPr>
            <b/>
            <sz val="8"/>
            <rFont val="Tahoma"/>
            <family val="0"/>
          </rPr>
          <t>Должно находиться в пиделах 2,0-3,5</t>
        </r>
      </text>
    </comment>
    <comment ref="K12" authorId="0">
      <text>
        <r>
          <rPr>
            <b/>
            <sz val="8"/>
            <rFont val="Tahoma"/>
            <family val="0"/>
          </rPr>
          <t>Должно находиться в пиделах 2,0-3,5</t>
        </r>
      </text>
    </comment>
    <comment ref="E5" authorId="1">
      <text>
        <r>
          <rPr>
            <b/>
            <sz val="8"/>
            <rFont val="Tahoma"/>
            <family val="0"/>
          </rPr>
          <t>Yurij:</t>
        </r>
        <r>
          <rPr>
            <sz val="8"/>
            <rFont val="Tahoma"/>
            <family val="0"/>
          </rPr>
          <t xml:space="preserve">
Поставленно 0,3 вместо 0,1 предотвращения сбоя счета принципиальная правильность не нарушена</t>
        </r>
      </text>
    </comment>
  </commentList>
</comments>
</file>

<file path=xl/sharedStrings.xml><?xml version="1.0" encoding="utf-8"?>
<sst xmlns="http://schemas.openxmlformats.org/spreadsheetml/2006/main" count="415" uniqueCount="223">
  <si>
    <t>Химический состав</t>
  </si>
  <si>
    <t>Содержание элементов,%</t>
  </si>
  <si>
    <t>C</t>
  </si>
  <si>
    <t>Mn</t>
  </si>
  <si>
    <t>Si</t>
  </si>
  <si>
    <t>Mo</t>
  </si>
  <si>
    <t>V</t>
  </si>
  <si>
    <t>S</t>
  </si>
  <si>
    <t>P</t>
  </si>
  <si>
    <t>Принят для расчета</t>
  </si>
  <si>
    <t>Химический состав стального лома и чугуна</t>
  </si>
  <si>
    <t>Шихтовый материал</t>
  </si>
  <si>
    <t xml:space="preserve">Стальной лом </t>
  </si>
  <si>
    <t>Чугун</t>
  </si>
  <si>
    <t>Определение необходимого углерода в шихте:</t>
  </si>
  <si>
    <t>Состав шихты</t>
  </si>
  <si>
    <t>[C]зав=</t>
  </si>
  <si>
    <t>По ГОСТ нижний придел</t>
  </si>
  <si>
    <t>По ГОСТ верхний придел</t>
  </si>
  <si>
    <t>Количество выжигаемого углерода за окислительный период:</t>
  </si>
  <si>
    <t>Ниже нижнего придела на :</t>
  </si>
  <si>
    <t>%</t>
  </si>
  <si>
    <t>Определеение содержание элементов в завалке</t>
  </si>
  <si>
    <t>Окислительный период</t>
  </si>
  <si>
    <t>Завалка</t>
  </si>
  <si>
    <t>Удалено</t>
  </si>
  <si>
    <t>Металл конца окислительного периода</t>
  </si>
  <si>
    <t>Содержание элементов</t>
  </si>
  <si>
    <t>% Удаления</t>
  </si>
  <si>
    <t>Состав шлака окислительного периода</t>
  </si>
  <si>
    <t>CaO</t>
  </si>
  <si>
    <t>FeO</t>
  </si>
  <si>
    <t>SiO2</t>
  </si>
  <si>
    <t>Приделы</t>
  </si>
  <si>
    <t>40-45</t>
  </si>
  <si>
    <t>15-25</t>
  </si>
  <si>
    <t>10-12</t>
  </si>
  <si>
    <t>Принято</t>
  </si>
  <si>
    <t>Принятый коэффициент распределеня фосфора</t>
  </si>
  <si>
    <t>Количество P2O5 переходящий в шлак при окислении фосфора</t>
  </si>
  <si>
    <t>Допустимое содержание пятиокиси в шлаке</t>
  </si>
  <si>
    <t>Необходимыйдля дефосфорации металла шлак</t>
  </si>
  <si>
    <t>кг</t>
  </si>
  <si>
    <t>Принимаем окисление углерода до</t>
  </si>
  <si>
    <t>CO2</t>
  </si>
  <si>
    <t>CO</t>
  </si>
  <si>
    <t>Элемент</t>
  </si>
  <si>
    <t>Окисл,%</t>
  </si>
  <si>
    <t>По реакции</t>
  </si>
  <si>
    <t>Необходимое количество кислорода,кг</t>
  </si>
  <si>
    <t>Количество продуктов реакции,кг</t>
  </si>
  <si>
    <t>Сумма</t>
  </si>
  <si>
    <t>Сумма С</t>
  </si>
  <si>
    <t>C-CO</t>
  </si>
  <si>
    <t>C-CO2</t>
  </si>
  <si>
    <t>C+0,5O2=CO</t>
  </si>
  <si>
    <t>C+O2=CO2</t>
  </si>
  <si>
    <t>Si+O2=SiO2</t>
  </si>
  <si>
    <t>Mn+0,5O2=MnO</t>
  </si>
  <si>
    <t>2P+2,5O2=P2O5</t>
  </si>
  <si>
    <t xml:space="preserve"> окисления примесей</t>
  </si>
  <si>
    <t>Количество закиси железа необходимое для</t>
  </si>
  <si>
    <t xml:space="preserve"> образов шлака задонного состава</t>
  </si>
  <si>
    <t>Содержание кислорода к концу окислительного периода</t>
  </si>
  <si>
    <t>Содержание закиси железа в металле</t>
  </si>
  <si>
    <t>Содержание железа в закиси железа</t>
  </si>
  <si>
    <t>Необходимое количество FeO в шлаке</t>
  </si>
  <si>
    <t>Необходимое количество Fe2O3 в руде</t>
  </si>
  <si>
    <t>Содержание железа в руде</t>
  </si>
  <si>
    <t>Необходимое количество руды</t>
  </si>
  <si>
    <t>Необходимое количество извести</t>
  </si>
  <si>
    <t>Источник поступления</t>
  </si>
  <si>
    <t>Металл</t>
  </si>
  <si>
    <t>Железная руда</t>
  </si>
  <si>
    <t>Известь</t>
  </si>
  <si>
    <t>Магнезит</t>
  </si>
  <si>
    <t>Всего</t>
  </si>
  <si>
    <t>Расход,кг</t>
  </si>
  <si>
    <t>Компоненты</t>
  </si>
  <si>
    <t>Al2O3</t>
  </si>
  <si>
    <t>MnO</t>
  </si>
  <si>
    <t>MgO</t>
  </si>
  <si>
    <t>P2O5</t>
  </si>
  <si>
    <t>Всего,кг</t>
  </si>
  <si>
    <t>Принимаем магний переходящий</t>
  </si>
  <si>
    <t>в окислительный</t>
  </si>
  <si>
    <t>в востановительный</t>
  </si>
  <si>
    <t>--&gt; 50% :-)</t>
  </si>
  <si>
    <t>Уточненный расчет количества и состава шлака окислительного периода</t>
  </si>
  <si>
    <t>Основность шлака окислительного периода=</t>
  </si>
  <si>
    <t>Выход металла первого периода</t>
  </si>
  <si>
    <t>Угар составляет 20 кг/т</t>
  </si>
  <si>
    <t>Потери металла  при скачивании шлака</t>
  </si>
  <si>
    <t>Материальный балланс окислительного периода плавки</t>
  </si>
  <si>
    <t>Внесено,кг</t>
  </si>
  <si>
    <t>Получено,кг</t>
  </si>
  <si>
    <t>Стального лома</t>
  </si>
  <si>
    <t>Чугуна</t>
  </si>
  <si>
    <t>Железной руды</t>
  </si>
  <si>
    <t>Извести</t>
  </si>
  <si>
    <t>Магнезита</t>
  </si>
  <si>
    <t>Итого</t>
  </si>
  <si>
    <t>Металла</t>
  </si>
  <si>
    <t>Щлака</t>
  </si>
  <si>
    <t>Угара</t>
  </si>
  <si>
    <t>Газов</t>
  </si>
  <si>
    <t>Потери при скачивании</t>
  </si>
  <si>
    <t>Невязка материального балланса</t>
  </si>
  <si>
    <t>Окислительный период плавки</t>
  </si>
  <si>
    <t>Восстановительный период плавки</t>
  </si>
  <si>
    <t>Расход ферросилиция</t>
  </si>
  <si>
    <t>Расход ферромолибдена</t>
  </si>
  <si>
    <t>Расход ферромарганца</t>
  </si>
  <si>
    <t>Вес кокса</t>
  </si>
  <si>
    <t>Коэффициент  усвоения углерода из кокса</t>
  </si>
  <si>
    <t>Содержание углерода в коксе</t>
  </si>
  <si>
    <t>x2-</t>
  </si>
  <si>
    <t>Выход металла восстановительного периода плавки</t>
  </si>
  <si>
    <t>Общий расход раскислителей и легирующих составляет</t>
  </si>
  <si>
    <t>CaF2</t>
  </si>
  <si>
    <t>15-20</t>
  </si>
  <si>
    <t>до 0,7</t>
  </si>
  <si>
    <t>5-10</t>
  </si>
  <si>
    <t>2-5</t>
  </si>
  <si>
    <t>Принимаем коэффициент распределения серы</t>
  </si>
  <si>
    <t xml:space="preserve">Тогда </t>
  </si>
  <si>
    <t>Количество серы которое необходимо удалить</t>
  </si>
  <si>
    <t>Сера ферросилиция</t>
  </si>
  <si>
    <t>Сера ферромарганца</t>
  </si>
  <si>
    <t>Сера ферромолибдена</t>
  </si>
  <si>
    <t>Сера кокса</t>
  </si>
  <si>
    <t>Сод.S в коксе</t>
  </si>
  <si>
    <t xml:space="preserve">Необходимое количество шлака </t>
  </si>
  <si>
    <t>Необходимое количество извести в шлаке</t>
  </si>
  <si>
    <t>Содержание CaO в извести</t>
  </si>
  <si>
    <t>Состав шлаковой смеси</t>
  </si>
  <si>
    <t>Плавиковый шпат</t>
  </si>
  <si>
    <t>Шамотный бой</t>
  </si>
  <si>
    <t xml:space="preserve">Вес плавикового шпата </t>
  </si>
  <si>
    <t>Вес шамотного боя</t>
  </si>
  <si>
    <t>Металл 1-го периода</t>
  </si>
  <si>
    <t>Шлак 1-го периода</t>
  </si>
  <si>
    <t>Ферросп.</t>
  </si>
  <si>
    <t>Уточненный расчет количества и состава шлака восстановительного периода плавки</t>
  </si>
  <si>
    <t>Основность</t>
  </si>
  <si>
    <t>Вносится закиси железа</t>
  </si>
  <si>
    <t>металлом 1-го периода</t>
  </si>
  <si>
    <t>шлаком1-го периода</t>
  </si>
  <si>
    <t>Вносится Fe2O3</t>
  </si>
  <si>
    <t>Плавиковым шпатом</t>
  </si>
  <si>
    <t>Магнезитом</t>
  </si>
  <si>
    <t>В пересчете на FeO</t>
  </si>
  <si>
    <t>Суммарно FeO</t>
  </si>
  <si>
    <t>Известью</t>
  </si>
  <si>
    <t>Шамотом</t>
  </si>
  <si>
    <t>Принимаем [Si]*[FeO]*[FeO]=</t>
  </si>
  <si>
    <t>FeO=</t>
  </si>
  <si>
    <t>шлаком 2-го периода</t>
  </si>
  <si>
    <t>Восстановится</t>
  </si>
  <si>
    <t>Расход углерода для восстановления</t>
  </si>
  <si>
    <t>кг.</t>
  </si>
  <si>
    <t>Получено газообразных продуктов реакции</t>
  </si>
  <si>
    <t>Материальный балланс восстановительного периода плвки</t>
  </si>
  <si>
    <t>Металл первого периода</t>
  </si>
  <si>
    <t>Шлак первого периода</t>
  </si>
  <si>
    <t>Плавикового шпата</t>
  </si>
  <si>
    <t>Шамотного боя</t>
  </si>
  <si>
    <t>Кокса</t>
  </si>
  <si>
    <t>FeSi</t>
  </si>
  <si>
    <t>FeMn</t>
  </si>
  <si>
    <t>FeMo</t>
  </si>
  <si>
    <t>Металл второго периода</t>
  </si>
  <si>
    <t>Шлак второго периода</t>
  </si>
  <si>
    <t>Невязка материального балланса восстановительного периода</t>
  </si>
  <si>
    <t>Примерный хим.состав шлаков восст. периода,%</t>
  </si>
  <si>
    <t>Кокс</t>
  </si>
  <si>
    <t>Принято для расчета</t>
  </si>
  <si>
    <t>Получено</t>
  </si>
  <si>
    <t>Переходит в шлак</t>
  </si>
  <si>
    <t>верхний придел</t>
  </si>
  <si>
    <t>С</t>
  </si>
  <si>
    <t>Содержание єлементов,%</t>
  </si>
  <si>
    <t>Состав металла по ГОСТу                     нижний придел</t>
  </si>
  <si>
    <t>=</t>
  </si>
  <si>
    <t>Исходные данные</t>
  </si>
  <si>
    <t>Марка</t>
  </si>
  <si>
    <t>Химический состав,%</t>
  </si>
  <si>
    <t>Cr</t>
  </si>
  <si>
    <t>Наименование</t>
  </si>
  <si>
    <t>Ферросилиций</t>
  </si>
  <si>
    <t>Ферромарганец</t>
  </si>
  <si>
    <t>Ферромолибден</t>
  </si>
  <si>
    <t>Химический состав ферросплавов</t>
  </si>
  <si>
    <t>Проверка химического состава металла</t>
  </si>
  <si>
    <t>W</t>
  </si>
  <si>
    <t>Ni</t>
  </si>
  <si>
    <t>Расход феррохрома</t>
  </si>
  <si>
    <t>Расход феррованадия</t>
  </si>
  <si>
    <t>Расход ферровольфрама</t>
  </si>
  <si>
    <t>Ферровольфрам</t>
  </si>
  <si>
    <t>Al</t>
  </si>
  <si>
    <t>Феррованадий</t>
  </si>
  <si>
    <t>Феррохром</t>
  </si>
  <si>
    <t>FeW</t>
  </si>
  <si>
    <t>FeV</t>
  </si>
  <si>
    <t>FeCr</t>
  </si>
  <si>
    <t>Ферро(кобальт-никель)</t>
  </si>
  <si>
    <t>Сера феррохрома</t>
  </si>
  <si>
    <t>Сера феррованадия</t>
  </si>
  <si>
    <t>Сера ферровольфрама</t>
  </si>
  <si>
    <t>ФС 75л</t>
  </si>
  <si>
    <t>ФХ 004А</t>
  </si>
  <si>
    <t>ФМо60</t>
  </si>
  <si>
    <t>Никель метализированный</t>
  </si>
  <si>
    <t>Н-4</t>
  </si>
  <si>
    <r>
      <t>Расход ферро(</t>
    </r>
    <r>
      <rPr>
        <sz val="10"/>
        <rFont val="Arial Cyr"/>
        <family val="0"/>
      </rPr>
      <t>Ni)</t>
    </r>
  </si>
  <si>
    <t>Сера никеля</t>
  </si>
  <si>
    <t xml:space="preserve"> никель</t>
  </si>
  <si>
    <t>Химический состав стали 12Х2НЧА.</t>
  </si>
  <si>
    <t>ФМн 0,5</t>
  </si>
  <si>
    <t xml:space="preserve"> </t>
  </si>
  <si>
    <t>ФВд75</t>
  </si>
  <si>
    <t>ФВ80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</si>
</sst>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E+00"/>
    <numFmt numFmtId="174" formatCode="0.00000"/>
    <numFmt numFmtId="175" formatCode="0.0000"/>
    <numFmt numFmtId="176" formatCode="0.0"/>
    <numFmt numFmtId="177" formatCode="0.00000000"/>
    <numFmt numFmtId="178" formatCode="0.0000000"/>
    <numFmt numFmtId="179" formatCode="0.000000"/>
    <numFmt numFmtId="180" formatCode="0.000000000"/>
    <numFmt numFmtId="181" formatCode="0E+00"/>
    <numFmt numFmtId="182" formatCode="0.000E+00"/>
    <numFmt numFmtId="183" formatCode="0.0000E+00"/>
    <numFmt numFmtId="184" formatCode="0.00000E+00"/>
    <numFmt numFmtId="185" formatCode="0.0000000000"/>
  </numFmts>
  <fonts count="12">
    <font>
      <sz val="10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0"/>
    </font>
    <font>
      <sz val="10"/>
      <color indexed="11"/>
      <name val="Arial Cyr"/>
      <family val="0"/>
    </font>
    <font>
      <b/>
      <i/>
      <sz val="10"/>
      <name val="Arial Cyr"/>
      <family val="0"/>
    </font>
    <font>
      <sz val="10"/>
      <color indexed="9"/>
      <name val="Arial Cyr"/>
      <family val="0"/>
    </font>
    <font>
      <b/>
      <sz val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7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72" fontId="0" fillId="0" borderId="4" xfId="0" applyNumberFormat="1" applyBorder="1" applyAlignment="1">
      <alignment horizontal="center" vertical="center"/>
    </xf>
    <xf numFmtId="172" fontId="0" fillId="0" borderId="5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2" borderId="0" xfId="0" applyFill="1" applyAlignment="1">
      <alignment/>
    </xf>
    <xf numFmtId="0" fontId="0" fillId="3" borderId="18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5" xfId="0" applyBorder="1" applyAlignment="1">
      <alignment horizontal="center"/>
    </xf>
    <xf numFmtId="172" fontId="0" fillId="0" borderId="26" xfId="0" applyNumberFormat="1" applyBorder="1" applyAlignment="1">
      <alignment horizontal="center"/>
    </xf>
    <xf numFmtId="172" fontId="0" fillId="0" borderId="2" xfId="0" applyNumberFormat="1" applyBorder="1" applyAlignment="1">
      <alignment horizontal="center"/>
    </xf>
    <xf numFmtId="172" fontId="0" fillId="0" borderId="3" xfId="0" applyNumberFormat="1" applyBorder="1" applyAlignment="1">
      <alignment horizontal="center"/>
    </xf>
    <xf numFmtId="172" fontId="0" fillId="0" borderId="27" xfId="0" applyNumberFormat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172" fontId="0" fillId="0" borderId="28" xfId="0" applyNumberFormat="1" applyBorder="1" applyAlignment="1">
      <alignment horizontal="center"/>
    </xf>
    <xf numFmtId="0" fontId="0" fillId="0" borderId="29" xfId="0" applyFont="1" applyBorder="1" applyAlignment="1">
      <alignment horizontal="center" vertical="center" wrapText="1"/>
    </xf>
    <xf numFmtId="172" fontId="0" fillId="0" borderId="0" xfId="0" applyNumberForma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172" fontId="0" fillId="0" borderId="33" xfId="0" applyNumberFormat="1" applyBorder="1" applyAlignment="1">
      <alignment horizontal="center"/>
    </xf>
    <xf numFmtId="172" fontId="0" fillId="0" borderId="34" xfId="0" applyNumberForma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35" xfId="0" applyBorder="1" applyAlignment="1">
      <alignment horizontal="center"/>
    </xf>
    <xf numFmtId="172" fontId="0" fillId="0" borderId="36" xfId="0" applyNumberFormat="1" applyBorder="1" applyAlignment="1">
      <alignment horizontal="center"/>
    </xf>
    <xf numFmtId="0" fontId="0" fillId="0" borderId="34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0" xfId="0" applyAlignment="1">
      <alignment/>
    </xf>
    <xf numFmtId="0" fontId="0" fillId="3" borderId="1" xfId="0" applyFont="1" applyFill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72" fontId="0" fillId="0" borderId="0" xfId="0" applyNumberFormat="1" applyAlignment="1">
      <alignment/>
    </xf>
    <xf numFmtId="0" fontId="3" fillId="0" borderId="0" xfId="0" applyFont="1" applyFill="1" applyBorder="1" applyAlignment="1" quotePrefix="1">
      <alignment horizontal="center"/>
    </xf>
    <xf numFmtId="0" fontId="0" fillId="0" borderId="20" xfId="0" applyBorder="1" applyAlignment="1">
      <alignment horizontal="center"/>
    </xf>
    <xf numFmtId="172" fontId="3" fillId="0" borderId="0" xfId="0" applyNumberFormat="1" applyFont="1" applyAlignment="1">
      <alignment horizontal="center"/>
    </xf>
    <xf numFmtId="0" fontId="0" fillId="4" borderId="0" xfId="0" applyFill="1" applyAlignment="1">
      <alignment/>
    </xf>
    <xf numFmtId="175" fontId="0" fillId="0" borderId="0" xfId="0" applyNumberFormat="1" applyAlignment="1">
      <alignment horizontal="center"/>
    </xf>
    <xf numFmtId="174" fontId="0" fillId="0" borderId="0" xfId="0" applyNumberFormat="1" applyAlignment="1">
      <alignment horizontal="center"/>
    </xf>
    <xf numFmtId="2" fontId="0" fillId="0" borderId="37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9" xfId="0" applyBorder="1" applyAlignment="1">
      <alignment horizontal="center"/>
    </xf>
    <xf numFmtId="172" fontId="0" fillId="0" borderId="40" xfId="0" applyNumberFormat="1" applyBorder="1" applyAlignment="1">
      <alignment horizontal="center"/>
    </xf>
    <xf numFmtId="172" fontId="0" fillId="0" borderId="5" xfId="0" applyNumberForma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172" fontId="0" fillId="0" borderId="41" xfId="0" applyNumberFormat="1" applyBorder="1" applyAlignment="1">
      <alignment horizontal="center"/>
    </xf>
    <xf numFmtId="0" fontId="3" fillId="0" borderId="0" xfId="0" applyFont="1" applyAlignment="1">
      <alignment/>
    </xf>
    <xf numFmtId="0" fontId="0" fillId="0" borderId="20" xfId="0" applyBorder="1" applyAlignment="1">
      <alignment horizontal="center" vertical="center"/>
    </xf>
    <xf numFmtId="172" fontId="0" fillId="0" borderId="18" xfId="0" applyNumberFormat="1" applyFill="1" applyBorder="1" applyAlignment="1">
      <alignment horizontal="center" vertical="center"/>
    </xf>
    <xf numFmtId="172" fontId="0" fillId="0" borderId="19" xfId="0" applyNumberFormat="1" applyFill="1" applyBorder="1" applyAlignment="1">
      <alignment horizontal="center" vertical="center"/>
    </xf>
    <xf numFmtId="172" fontId="0" fillId="0" borderId="25" xfId="0" applyNumberForma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center" vertical="center"/>
    </xf>
    <xf numFmtId="176" fontId="0" fillId="0" borderId="19" xfId="0" applyNumberForma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/>
    </xf>
    <xf numFmtId="172" fontId="0" fillId="0" borderId="0" xfId="0" applyNumberFormat="1" applyFill="1" applyAlignment="1">
      <alignment horizontal="center"/>
    </xf>
    <xf numFmtId="0" fontId="3" fillId="0" borderId="0" xfId="0" applyFont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2" fontId="0" fillId="0" borderId="43" xfId="0" applyNumberFormat="1" applyBorder="1" applyAlignment="1">
      <alignment horizontal="center"/>
    </xf>
    <xf numFmtId="0" fontId="0" fillId="0" borderId="3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3" borderId="19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0" xfId="0" applyFont="1" applyAlignment="1">
      <alignment horizontal="center"/>
    </xf>
    <xf numFmtId="0" fontId="0" fillId="0" borderId="9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3" borderId="8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6" xfId="0" applyBorder="1" applyAlignment="1">
      <alignment horizontal="center"/>
    </xf>
    <xf numFmtId="172" fontId="0" fillId="0" borderId="4" xfId="0" applyNumberFormat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0" fillId="0" borderId="1" xfId="0" applyBorder="1" applyAlignment="1">
      <alignment/>
    </xf>
    <xf numFmtId="2" fontId="0" fillId="0" borderId="2" xfId="0" applyNumberFormat="1" applyBorder="1" applyAlignment="1">
      <alignment horizontal="center" vertical="center"/>
    </xf>
    <xf numFmtId="172" fontId="0" fillId="0" borderId="1" xfId="0" applyNumberFormat="1" applyFill="1" applyBorder="1" applyAlignment="1">
      <alignment horizontal="center" vertical="center"/>
    </xf>
    <xf numFmtId="172" fontId="0" fillId="0" borderId="11" xfId="0" applyNumberFormat="1" applyFill="1" applyBorder="1" applyAlignment="1">
      <alignment horizontal="center" vertical="center"/>
    </xf>
    <xf numFmtId="2" fontId="0" fillId="0" borderId="18" xfId="0" applyNumberFormat="1" applyFill="1" applyBorder="1" applyAlignment="1">
      <alignment horizontal="center" vertical="center"/>
    </xf>
    <xf numFmtId="0" fontId="0" fillId="0" borderId="47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 vertical="center"/>
    </xf>
    <xf numFmtId="172" fontId="0" fillId="0" borderId="47" xfId="0" applyNumberFormat="1" applyFill="1" applyBorder="1" applyAlignment="1">
      <alignment horizontal="center" vertical="center"/>
    </xf>
    <xf numFmtId="172" fontId="0" fillId="0" borderId="48" xfId="0" applyNumberFormat="1" applyFill="1" applyBorder="1" applyAlignment="1">
      <alignment horizontal="center" vertical="center"/>
    </xf>
    <xf numFmtId="2" fontId="0" fillId="0" borderId="8" xfId="0" applyNumberFormat="1" applyFill="1" applyBorder="1" applyAlignment="1">
      <alignment horizontal="center" vertical="center"/>
    </xf>
    <xf numFmtId="172" fontId="0" fillId="0" borderId="4" xfId="0" applyNumberFormat="1" applyFill="1" applyBorder="1" applyAlignment="1">
      <alignment horizontal="center" vertical="center"/>
    </xf>
    <xf numFmtId="172" fontId="0" fillId="0" borderId="5" xfId="0" applyNumberFormat="1" applyFill="1" applyBorder="1" applyAlignment="1">
      <alignment horizontal="center" vertical="center"/>
    </xf>
    <xf numFmtId="172" fontId="0" fillId="0" borderId="17" xfId="0" applyNumberFormat="1" applyFont="1" applyFill="1" applyBorder="1" applyAlignment="1">
      <alignment horizontal="center" vertical="center"/>
    </xf>
    <xf numFmtId="172" fontId="0" fillId="0" borderId="49" xfId="0" applyNumberFormat="1" applyFont="1" applyFill="1" applyBorder="1" applyAlignment="1">
      <alignment horizontal="center" vertical="center"/>
    </xf>
    <xf numFmtId="172" fontId="0" fillId="0" borderId="25" xfId="0" applyNumberFormat="1" applyFont="1" applyFill="1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8" xfId="0" applyBorder="1" applyAlignment="1">
      <alignment horizontal="center" vertical="center"/>
    </xf>
    <xf numFmtId="2" fontId="3" fillId="0" borderId="53" xfId="0" applyNumberFormat="1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172" fontId="0" fillId="0" borderId="18" xfId="0" applyNumberFormat="1" applyFont="1" applyFill="1" applyBorder="1" applyAlignment="1">
      <alignment horizontal="center" vertical="center"/>
    </xf>
    <xf numFmtId="172" fontId="0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18" xfId="0" applyFont="1" applyFill="1" applyBorder="1" applyAlignment="1">
      <alignment horizontal="center" vertical="center"/>
    </xf>
    <xf numFmtId="172" fontId="0" fillId="0" borderId="1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41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/>
    </xf>
    <xf numFmtId="172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2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172" fontId="9" fillId="0" borderId="0" xfId="0" applyNumberFormat="1" applyFont="1" applyAlignment="1">
      <alignment horizontal="center"/>
    </xf>
    <xf numFmtId="0" fontId="0" fillId="0" borderId="55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7" xfId="0" applyBorder="1" applyAlignment="1">
      <alignment horizontal="center"/>
    </xf>
    <xf numFmtId="172" fontId="3" fillId="0" borderId="47" xfId="0" applyNumberFormat="1" applyFont="1" applyFill="1" applyBorder="1" applyAlignment="1">
      <alignment horizontal="center" vertical="center"/>
    </xf>
    <xf numFmtId="2" fontId="3" fillId="0" borderId="55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172" fontId="10" fillId="0" borderId="0" xfId="0" applyNumberFormat="1" applyFont="1" applyAlignment="1">
      <alignment/>
    </xf>
    <xf numFmtId="172" fontId="0" fillId="0" borderId="0" xfId="0" applyNumberFormat="1" applyBorder="1" applyAlignment="1">
      <alignment/>
    </xf>
    <xf numFmtId="172" fontId="0" fillId="0" borderId="20" xfId="0" applyNumberFormat="1" applyBorder="1" applyAlignment="1">
      <alignment/>
    </xf>
    <xf numFmtId="2" fontId="0" fillId="0" borderId="58" xfId="0" applyNumberFormat="1" applyBorder="1" applyAlignment="1">
      <alignment horizontal="center"/>
    </xf>
    <xf numFmtId="175" fontId="0" fillId="0" borderId="0" xfId="0" applyNumberFormat="1" applyAlignment="1">
      <alignment/>
    </xf>
    <xf numFmtId="2" fontId="0" fillId="0" borderId="16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2" fontId="0" fillId="0" borderId="59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176" fontId="0" fillId="0" borderId="36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176" fontId="0" fillId="0" borderId="32" xfId="0" applyNumberForma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2" fontId="0" fillId="0" borderId="7" xfId="0" applyNumberFormat="1" applyFill="1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3" fillId="0" borderId="51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0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50" xfId="0" applyBorder="1" applyAlignment="1">
      <alignment horizontal="center"/>
    </xf>
    <xf numFmtId="0" fontId="0" fillId="0" borderId="61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60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3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8" xfId="0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62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5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Fill="1" applyBorder="1" applyAlignment="1">
      <alignment horizontal="center"/>
    </xf>
    <xf numFmtId="172" fontId="0" fillId="0" borderId="23" xfId="0" applyNumberFormat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/>
    </xf>
    <xf numFmtId="172" fontId="0" fillId="0" borderId="36" xfId="0" applyNumberFormat="1" applyBorder="1" applyAlignment="1">
      <alignment horizontal="center" vertical="center" wrapText="1"/>
    </xf>
    <xf numFmtId="172" fontId="0" fillId="0" borderId="60" xfId="0" applyNumberForma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72" fontId="0" fillId="0" borderId="24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0" fontId="0" fillId="0" borderId="56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172" fontId="0" fillId="0" borderId="24" xfId="0" applyNumberFormat="1" applyBorder="1" applyAlignment="1">
      <alignment horizontal="center" vertical="center"/>
    </xf>
    <xf numFmtId="172" fontId="0" fillId="0" borderId="40" xfId="0" applyNumberFormat="1" applyBorder="1" applyAlignment="1">
      <alignment horizontal="center" vertical="center"/>
    </xf>
    <xf numFmtId="172" fontId="0" fillId="0" borderId="48" xfId="0" applyNumberFormat="1" applyBorder="1" applyAlignment="1">
      <alignment horizontal="center" vertical="center"/>
    </xf>
    <xf numFmtId="172" fontId="0" fillId="0" borderId="23" xfId="0" applyNumberFormat="1" applyBorder="1" applyAlignment="1">
      <alignment horizontal="center" vertical="center"/>
    </xf>
    <xf numFmtId="172" fontId="0" fillId="0" borderId="41" xfId="0" applyNumberFormat="1" applyBorder="1" applyAlignment="1">
      <alignment horizontal="center" vertical="center"/>
    </xf>
    <xf numFmtId="172" fontId="0" fillId="0" borderId="47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172" fontId="0" fillId="0" borderId="38" xfId="0" applyNumberFormat="1" applyBorder="1" applyAlignment="1">
      <alignment horizontal="center" vertical="center" wrapText="1"/>
    </xf>
    <xf numFmtId="172" fontId="0" fillId="0" borderId="65" xfId="0" applyNumberFormat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7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7" xfId="0" applyBorder="1" applyAlignment="1">
      <alignment horizontal="center"/>
    </xf>
    <xf numFmtId="172" fontId="0" fillId="0" borderId="38" xfId="0" applyNumberFormat="1" applyBorder="1" applyAlignment="1">
      <alignment horizontal="center"/>
    </xf>
    <xf numFmtId="172" fontId="0" fillId="0" borderId="52" xfId="0" applyNumberFormat="1" applyBorder="1" applyAlignment="1">
      <alignment horizontal="center"/>
    </xf>
    <xf numFmtId="172" fontId="0" fillId="0" borderId="36" xfId="0" applyNumberFormat="1" applyBorder="1" applyAlignment="1">
      <alignment horizontal="center"/>
    </xf>
    <xf numFmtId="172" fontId="0" fillId="0" borderId="37" xfId="0" applyNumberFormat="1" applyBorder="1" applyAlignment="1">
      <alignment horizontal="center"/>
    </xf>
    <xf numFmtId="172" fontId="0" fillId="0" borderId="67" xfId="0" applyNumberFormat="1" applyBorder="1" applyAlignment="1">
      <alignment horizontal="center"/>
    </xf>
    <xf numFmtId="172" fontId="0" fillId="0" borderId="68" xfId="0" applyNumberFormat="1" applyBorder="1" applyAlignment="1">
      <alignment horizontal="center"/>
    </xf>
    <xf numFmtId="172" fontId="0" fillId="0" borderId="54" xfId="0" applyNumberFormat="1" applyBorder="1" applyAlignment="1">
      <alignment horizontal="center"/>
    </xf>
    <xf numFmtId="172" fontId="0" fillId="0" borderId="69" xfId="0" applyNumberFormat="1" applyBorder="1" applyAlignment="1">
      <alignment horizontal="center"/>
    </xf>
    <xf numFmtId="172" fontId="0" fillId="0" borderId="28" xfId="0" applyNumberFormat="1" applyBorder="1" applyAlignment="1">
      <alignment horizontal="center"/>
    </xf>
    <xf numFmtId="172" fontId="0" fillId="0" borderId="27" xfId="0" applyNumberFormat="1" applyBorder="1" applyAlignment="1">
      <alignment horizontal="center"/>
    </xf>
    <xf numFmtId="172" fontId="0" fillId="0" borderId="32" xfId="0" applyNumberFormat="1" applyBorder="1" applyAlignment="1">
      <alignment horizontal="center"/>
    </xf>
    <xf numFmtId="172" fontId="0" fillId="0" borderId="43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right"/>
    </xf>
    <xf numFmtId="0" fontId="0" fillId="0" borderId="70" xfId="0" applyBorder="1" applyAlignment="1">
      <alignment horizontal="right"/>
    </xf>
    <xf numFmtId="0" fontId="0" fillId="0" borderId="71" xfId="0" applyBorder="1" applyAlignment="1">
      <alignment horizontal="right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73" xfId="0" applyBorder="1" applyAlignment="1">
      <alignment horizontal="right"/>
    </xf>
    <xf numFmtId="0" fontId="0" fillId="0" borderId="58" xfId="0" applyBorder="1" applyAlignment="1">
      <alignment horizontal="right"/>
    </xf>
    <xf numFmtId="0" fontId="3" fillId="0" borderId="30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34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73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5"/>
  <sheetViews>
    <sheetView tabSelected="1" workbookViewId="0" topLeftCell="A73">
      <selection activeCell="D217" sqref="D217"/>
    </sheetView>
  </sheetViews>
  <sheetFormatPr defaultColWidth="9.00390625" defaultRowHeight="12.75" outlineLevelRow="1"/>
  <cols>
    <col min="1" max="1" width="10.375" style="0" customWidth="1"/>
    <col min="2" max="2" width="20.625" style="0" customWidth="1"/>
    <col min="3" max="3" width="9.75390625" style="0" customWidth="1"/>
    <col min="4" max="4" width="10.875" style="0" customWidth="1"/>
    <col min="5" max="5" width="11.125" style="0" customWidth="1"/>
    <col min="6" max="6" width="10.00390625" style="0" customWidth="1"/>
    <col min="9" max="9" width="12.625" style="0" customWidth="1"/>
    <col min="10" max="10" width="10.00390625" style="0" customWidth="1"/>
    <col min="11" max="11" width="10.625" style="0" customWidth="1"/>
    <col min="13" max="18" width="7.875" style="0" customWidth="1"/>
  </cols>
  <sheetData>
    <row r="1" spans="3:9" ht="20.25">
      <c r="C1" s="223" t="s">
        <v>184</v>
      </c>
      <c r="D1" s="223"/>
      <c r="E1" s="223"/>
      <c r="F1" s="223"/>
      <c r="G1" s="223"/>
      <c r="H1" s="223"/>
      <c r="I1" s="116"/>
    </row>
    <row r="2" spans="2:13" ht="13.5" thickBot="1">
      <c r="B2" s="224" t="s">
        <v>218</v>
      </c>
      <c r="C2" s="218"/>
      <c r="D2" s="218"/>
      <c r="E2" s="218"/>
      <c r="F2" s="218"/>
      <c r="G2" s="218"/>
      <c r="H2" s="218"/>
      <c r="I2" s="218"/>
      <c r="J2" s="68"/>
      <c r="K2" s="68"/>
      <c r="L2" s="68"/>
      <c r="M2" s="68"/>
    </row>
    <row r="3" spans="2:13" ht="13.5" thickBot="1">
      <c r="B3" s="206" t="s">
        <v>0</v>
      </c>
      <c r="C3" s="212" t="s">
        <v>1</v>
      </c>
      <c r="D3" s="323"/>
      <c r="E3" s="323"/>
      <c r="F3" s="323"/>
      <c r="G3" s="323"/>
      <c r="H3" s="323"/>
      <c r="I3" s="323"/>
      <c r="J3" s="323"/>
      <c r="K3" s="323"/>
      <c r="L3" s="213"/>
      <c r="M3" s="89"/>
    </row>
    <row r="4" spans="2:12" ht="13.5" thickBot="1">
      <c r="B4" s="207"/>
      <c r="C4" s="168" t="s">
        <v>2</v>
      </c>
      <c r="D4" s="169" t="s">
        <v>3</v>
      </c>
      <c r="E4" s="169" t="s">
        <v>4</v>
      </c>
      <c r="F4" s="169" t="s">
        <v>5</v>
      </c>
      <c r="G4" s="169" t="s">
        <v>6</v>
      </c>
      <c r="H4" s="131" t="s">
        <v>187</v>
      </c>
      <c r="I4" s="131" t="s">
        <v>194</v>
      </c>
      <c r="J4" s="131" t="s">
        <v>195</v>
      </c>
      <c r="K4" s="169" t="s">
        <v>7</v>
      </c>
      <c r="L4" s="170" t="s">
        <v>8</v>
      </c>
    </row>
    <row r="5" spans="2:12" ht="24" customHeight="1" thickBot="1">
      <c r="B5" s="20" t="s">
        <v>17</v>
      </c>
      <c r="C5" s="23">
        <v>0.82</v>
      </c>
      <c r="D5" s="24">
        <v>0</v>
      </c>
      <c r="E5" s="24">
        <v>0</v>
      </c>
      <c r="F5" s="24">
        <v>4.8</v>
      </c>
      <c r="G5" s="24">
        <v>1.7</v>
      </c>
      <c r="H5" s="127">
        <v>3.8</v>
      </c>
      <c r="I5" s="127">
        <v>5.5</v>
      </c>
      <c r="J5" s="27">
        <v>0</v>
      </c>
      <c r="K5" s="24">
        <v>0</v>
      </c>
      <c r="L5" s="25">
        <v>0</v>
      </c>
    </row>
    <row r="6" spans="2:12" ht="24" customHeight="1">
      <c r="B6" s="20" t="s">
        <v>18</v>
      </c>
      <c r="C6" s="26">
        <v>0.9</v>
      </c>
      <c r="D6" s="27">
        <v>0.5</v>
      </c>
      <c r="E6" s="27">
        <v>0.5</v>
      </c>
      <c r="F6" s="27">
        <v>5.3</v>
      </c>
      <c r="G6" s="27">
        <v>2.1</v>
      </c>
      <c r="H6" s="27">
        <v>4.4</v>
      </c>
      <c r="I6" s="27">
        <v>6.5</v>
      </c>
      <c r="J6" s="27">
        <v>0.4</v>
      </c>
      <c r="K6" s="27">
        <v>0.04</v>
      </c>
      <c r="L6" s="28">
        <v>0.03</v>
      </c>
    </row>
    <row r="7" spans="2:12" ht="25.5" customHeight="1" thickBot="1">
      <c r="B7" s="113" t="s">
        <v>9</v>
      </c>
      <c r="C7" s="29">
        <f aca="true" t="shared" si="0" ref="C7:J7">(C5+C6)/2</f>
        <v>0.86</v>
      </c>
      <c r="D7" s="30">
        <f t="shared" si="0"/>
        <v>0.25</v>
      </c>
      <c r="E7" s="30">
        <f t="shared" si="0"/>
        <v>0.25</v>
      </c>
      <c r="F7" s="30">
        <f t="shared" si="0"/>
        <v>5.05</v>
      </c>
      <c r="G7" s="30">
        <f>(G5+G6)/2</f>
        <v>1.9</v>
      </c>
      <c r="H7" s="30">
        <f t="shared" si="0"/>
        <v>4.1</v>
      </c>
      <c r="I7" s="30">
        <f t="shared" si="0"/>
        <v>6</v>
      </c>
      <c r="J7" s="30">
        <f t="shared" si="0"/>
        <v>0.2</v>
      </c>
      <c r="K7" s="21">
        <f>(K5+K6)/2</f>
        <v>0.02</v>
      </c>
      <c r="L7" s="22">
        <f>(L5+L6)/2</f>
        <v>0.015</v>
      </c>
    </row>
    <row r="8" ht="12" customHeight="1">
      <c r="B8" s="2"/>
    </row>
    <row r="9" spans="2:8" ht="13.5" thickBot="1">
      <c r="B9" s="221" t="s">
        <v>10</v>
      </c>
      <c r="C9" s="221"/>
      <c r="D9" s="221"/>
      <c r="E9" s="221"/>
      <c r="F9" s="221"/>
      <c r="G9" s="221"/>
      <c r="H9" s="221"/>
    </row>
    <row r="10" spans="2:8" ht="12.75">
      <c r="B10" s="204" t="s">
        <v>11</v>
      </c>
      <c r="C10" s="201" t="s">
        <v>1</v>
      </c>
      <c r="D10" s="202"/>
      <c r="E10" s="202"/>
      <c r="F10" s="202"/>
      <c r="G10" s="203"/>
      <c r="H10" s="208" t="s">
        <v>15</v>
      </c>
    </row>
    <row r="11" spans="2:8" ht="13.5" thickBot="1">
      <c r="B11" s="205"/>
      <c r="C11" s="15" t="s">
        <v>2</v>
      </c>
      <c r="D11" s="6" t="s">
        <v>3</v>
      </c>
      <c r="E11" s="6" t="s">
        <v>4</v>
      </c>
      <c r="F11" s="6" t="s">
        <v>7</v>
      </c>
      <c r="G11" s="7" t="s">
        <v>8</v>
      </c>
      <c r="H11" s="209"/>
    </row>
    <row r="12" spans="2:12" ht="24.75" customHeight="1">
      <c r="B12" s="114" t="s">
        <v>12</v>
      </c>
      <c r="C12" s="16">
        <v>0.25</v>
      </c>
      <c r="D12" s="3">
        <v>0.3</v>
      </c>
      <c r="E12" s="3">
        <v>0.25</v>
      </c>
      <c r="F12" s="3">
        <v>0.03</v>
      </c>
      <c r="G12" s="17">
        <v>0.035</v>
      </c>
      <c r="H12" s="9">
        <v>80</v>
      </c>
      <c r="K12" s="124"/>
      <c r="L12" t="s">
        <v>220</v>
      </c>
    </row>
    <row r="13" spans="2:8" ht="27" customHeight="1" thickBot="1">
      <c r="B13" s="113" t="s">
        <v>13</v>
      </c>
      <c r="C13" s="10">
        <v>3.8</v>
      </c>
      <c r="D13" s="11">
        <v>0.45</v>
      </c>
      <c r="E13" s="11">
        <v>0.85</v>
      </c>
      <c r="F13" s="11">
        <v>0.05</v>
      </c>
      <c r="G13" s="12">
        <v>0.35</v>
      </c>
      <c r="H13" s="19">
        <f>100-H12</f>
        <v>20</v>
      </c>
    </row>
    <row r="14" spans="2:8" ht="12.75" customHeight="1">
      <c r="B14" s="51"/>
      <c r="C14" s="105"/>
      <c r="D14" s="105"/>
      <c r="E14" s="105"/>
      <c r="F14" s="105"/>
      <c r="G14" s="105"/>
      <c r="H14" s="105"/>
    </row>
    <row r="15" spans="2:10" ht="13.5" thickBot="1">
      <c r="B15" s="199" t="s">
        <v>192</v>
      </c>
      <c r="C15" s="199"/>
      <c r="D15" s="200"/>
      <c r="E15" s="200"/>
      <c r="F15" s="200"/>
      <c r="G15" s="200"/>
      <c r="H15" s="200"/>
      <c r="I15" s="200"/>
      <c r="J15" s="200"/>
    </row>
    <row r="16" spans="2:15" ht="12.75" customHeight="1" thickBot="1">
      <c r="B16" s="215" t="s">
        <v>188</v>
      </c>
      <c r="C16" s="215" t="s">
        <v>185</v>
      </c>
      <c r="D16" s="320" t="s">
        <v>186</v>
      </c>
      <c r="E16" s="321"/>
      <c r="F16" s="321"/>
      <c r="G16" s="321"/>
      <c r="H16" s="321"/>
      <c r="I16" s="321"/>
      <c r="J16" s="321"/>
      <c r="K16" s="321"/>
      <c r="L16" s="321"/>
      <c r="M16" s="321"/>
      <c r="N16" s="322"/>
      <c r="O16" s="171"/>
    </row>
    <row r="17" spans="2:14" ht="12.75" customHeight="1" thickBot="1">
      <c r="B17" s="236"/>
      <c r="C17" s="216"/>
      <c r="D17" s="172" t="s">
        <v>2</v>
      </c>
      <c r="E17" s="173" t="s">
        <v>4</v>
      </c>
      <c r="F17" s="173" t="s">
        <v>3</v>
      </c>
      <c r="G17" s="173" t="s">
        <v>187</v>
      </c>
      <c r="H17" s="157" t="s">
        <v>5</v>
      </c>
      <c r="I17" s="157" t="s">
        <v>6</v>
      </c>
      <c r="J17" s="157" t="s">
        <v>194</v>
      </c>
      <c r="K17" s="157" t="s">
        <v>195</v>
      </c>
      <c r="L17" s="157" t="s">
        <v>200</v>
      </c>
      <c r="M17" s="157" t="s">
        <v>7</v>
      </c>
      <c r="N17" s="174" t="s">
        <v>8</v>
      </c>
    </row>
    <row r="18" spans="2:14" ht="12.75" customHeight="1">
      <c r="B18" s="35" t="s">
        <v>189</v>
      </c>
      <c r="C18" s="60" t="s">
        <v>210</v>
      </c>
      <c r="D18" s="84"/>
      <c r="E18" s="142">
        <v>78</v>
      </c>
      <c r="F18" s="142"/>
      <c r="G18" s="142">
        <v>0.3</v>
      </c>
      <c r="H18" s="142"/>
      <c r="I18" s="142"/>
      <c r="J18" s="142"/>
      <c r="K18" s="142"/>
      <c r="L18" s="142">
        <v>1.5</v>
      </c>
      <c r="M18" s="142">
        <v>0.02</v>
      </c>
      <c r="N18" s="143">
        <v>0.05</v>
      </c>
    </row>
    <row r="19" spans="2:14" ht="12.75" customHeight="1">
      <c r="B19" s="35" t="s">
        <v>190</v>
      </c>
      <c r="C19" s="36" t="s">
        <v>219</v>
      </c>
      <c r="D19" s="74">
        <v>0.5</v>
      </c>
      <c r="E19" s="34">
        <v>0.2</v>
      </c>
      <c r="F19" s="34">
        <v>85</v>
      </c>
      <c r="G19" s="34"/>
      <c r="H19" s="34"/>
      <c r="I19" s="34"/>
      <c r="J19" s="34"/>
      <c r="K19" s="34"/>
      <c r="L19" s="34"/>
      <c r="M19" s="34">
        <v>0.03</v>
      </c>
      <c r="N19" s="121">
        <v>0.3</v>
      </c>
    </row>
    <row r="20" spans="2:14" ht="12.75" customHeight="1">
      <c r="B20" s="35" t="s">
        <v>199</v>
      </c>
      <c r="C20" s="36" t="s">
        <v>222</v>
      </c>
      <c r="D20" s="74">
        <v>0.1</v>
      </c>
      <c r="E20" s="34">
        <v>0.8</v>
      </c>
      <c r="F20" s="34">
        <v>0.2</v>
      </c>
      <c r="G20" s="34"/>
      <c r="H20" s="34">
        <v>6</v>
      </c>
      <c r="I20" s="34"/>
      <c r="J20" s="34">
        <v>70</v>
      </c>
      <c r="K20" s="34"/>
      <c r="L20" s="34">
        <v>3</v>
      </c>
      <c r="M20" s="34">
        <v>0.02</v>
      </c>
      <c r="N20" s="121">
        <v>0.03</v>
      </c>
    </row>
    <row r="21" spans="2:14" ht="12.75" customHeight="1">
      <c r="B21" s="35" t="s">
        <v>201</v>
      </c>
      <c r="C21" s="36" t="s">
        <v>221</v>
      </c>
      <c r="D21" s="74">
        <v>0.1</v>
      </c>
      <c r="E21" s="34">
        <v>2</v>
      </c>
      <c r="F21" s="34">
        <v>0.4</v>
      </c>
      <c r="G21" s="34"/>
      <c r="H21" s="34"/>
      <c r="I21" s="34">
        <v>80</v>
      </c>
      <c r="J21" s="34"/>
      <c r="K21" s="34"/>
      <c r="L21" s="34">
        <v>1</v>
      </c>
      <c r="M21" s="34">
        <v>0.1</v>
      </c>
      <c r="N21" s="121">
        <v>0.1</v>
      </c>
    </row>
    <row r="22" spans="2:14" ht="12.75" customHeight="1">
      <c r="B22" s="35" t="s">
        <v>202</v>
      </c>
      <c r="C22" s="36" t="s">
        <v>211</v>
      </c>
      <c r="D22" s="74">
        <v>0.01</v>
      </c>
      <c r="E22" s="34">
        <v>0.8</v>
      </c>
      <c r="F22" s="34"/>
      <c r="G22" s="34">
        <v>68</v>
      </c>
      <c r="H22" s="34"/>
      <c r="I22" s="34"/>
      <c r="J22" s="34"/>
      <c r="K22" s="34"/>
      <c r="L22" s="34">
        <v>0.3</v>
      </c>
      <c r="M22" s="34">
        <v>0.02</v>
      </c>
      <c r="N22" s="121">
        <v>0.02</v>
      </c>
    </row>
    <row r="23" spans="2:14" ht="29.25" customHeight="1">
      <c r="B23" s="35" t="s">
        <v>213</v>
      </c>
      <c r="C23" s="59" t="s">
        <v>214</v>
      </c>
      <c r="D23" s="92">
        <v>0.15</v>
      </c>
      <c r="E23" s="105"/>
      <c r="F23" s="105"/>
      <c r="G23" s="105"/>
      <c r="H23" s="105"/>
      <c r="I23" s="105"/>
      <c r="J23" s="105"/>
      <c r="K23" s="105">
        <v>97</v>
      </c>
      <c r="L23" s="105"/>
      <c r="M23" s="103">
        <v>0</v>
      </c>
      <c r="N23" s="158">
        <v>0.04</v>
      </c>
    </row>
    <row r="24" spans="2:14" ht="12.75" customHeight="1" thickBot="1">
      <c r="B24" s="108" t="s">
        <v>191</v>
      </c>
      <c r="C24" s="53" t="s">
        <v>212</v>
      </c>
      <c r="D24" s="154">
        <v>0.05</v>
      </c>
      <c r="E24" s="141">
        <v>0.8</v>
      </c>
      <c r="F24" s="141"/>
      <c r="G24" s="141"/>
      <c r="H24" s="141">
        <v>60</v>
      </c>
      <c r="I24" s="141"/>
      <c r="J24" s="141">
        <v>0.3</v>
      </c>
      <c r="K24" s="141"/>
      <c r="L24" s="141"/>
      <c r="M24" s="141">
        <v>0.1</v>
      </c>
      <c r="N24" s="122">
        <v>0.05</v>
      </c>
    </row>
    <row r="25" spans="2:8" ht="12.75" customHeight="1">
      <c r="B25" s="51"/>
      <c r="C25" s="105"/>
      <c r="D25" s="105"/>
      <c r="E25" s="105"/>
      <c r="F25" s="105"/>
      <c r="G25" s="105"/>
      <c r="H25" s="105"/>
    </row>
    <row r="26" spans="2:8" ht="14.25" customHeight="1">
      <c r="B26" s="51"/>
      <c r="C26" s="105"/>
      <c r="D26" s="105"/>
      <c r="E26" s="105"/>
      <c r="F26" s="105"/>
      <c r="G26" s="105"/>
      <c r="H26" s="105"/>
    </row>
    <row r="27" s="31" customFormat="1" ht="6" customHeight="1" outlineLevel="1"/>
    <row r="28" s="115" customFormat="1" ht="12.75" customHeight="1" outlineLevel="1"/>
    <row r="29" spans="3:8" s="115" customFormat="1" ht="20.25" customHeight="1" outlineLevel="1">
      <c r="C29" s="223" t="s">
        <v>108</v>
      </c>
      <c r="D29" s="223"/>
      <c r="E29" s="223"/>
      <c r="F29" s="223"/>
      <c r="G29" s="223"/>
      <c r="H29" s="223"/>
    </row>
    <row r="30" s="115" customFormat="1" ht="11.25" customHeight="1" outlineLevel="1"/>
    <row r="31" spans="2:8" ht="12.75" customHeight="1" outlineLevel="1">
      <c r="B31" s="221" t="s">
        <v>19</v>
      </c>
      <c r="C31" s="221"/>
      <c r="D31" s="221"/>
      <c r="E31" s="221"/>
      <c r="F31" s="221"/>
      <c r="G31" s="222"/>
      <c r="H31" s="32">
        <v>0.2</v>
      </c>
    </row>
    <row r="32" spans="2:8" ht="12.75" customHeight="1" outlineLevel="1">
      <c r="B32" s="229" t="s">
        <v>20</v>
      </c>
      <c r="C32" s="229"/>
      <c r="D32" s="229"/>
      <c r="E32" s="229"/>
      <c r="F32" s="229"/>
      <c r="G32" s="230"/>
      <c r="H32" s="32">
        <v>0.03</v>
      </c>
    </row>
    <row r="33" ht="11.25" customHeight="1" outlineLevel="1" thickBot="1"/>
    <row r="34" spans="3:14" ht="12.75" customHeight="1" outlineLevel="1">
      <c r="C34" s="231" t="s">
        <v>29</v>
      </c>
      <c r="D34" s="232"/>
      <c r="E34" s="232"/>
      <c r="F34" s="233"/>
      <c r="G34" s="88"/>
      <c r="H34" s="88"/>
      <c r="I34" s="234" t="s">
        <v>23</v>
      </c>
      <c r="J34" s="231" t="s">
        <v>27</v>
      </c>
      <c r="K34" s="232"/>
      <c r="L34" s="232"/>
      <c r="M34" s="232"/>
      <c r="N34" s="233"/>
    </row>
    <row r="35" spans="3:14" ht="12.75" customHeight="1" outlineLevel="1" thickBot="1">
      <c r="C35" s="15"/>
      <c r="D35" s="6" t="s">
        <v>30</v>
      </c>
      <c r="E35" s="6" t="s">
        <v>31</v>
      </c>
      <c r="F35" s="7" t="s">
        <v>32</v>
      </c>
      <c r="G35" s="88"/>
      <c r="H35" s="88"/>
      <c r="I35" s="235"/>
      <c r="J35" s="37" t="s">
        <v>2</v>
      </c>
      <c r="K35" s="38" t="s">
        <v>3</v>
      </c>
      <c r="L35" s="38" t="s">
        <v>4</v>
      </c>
      <c r="M35" s="38" t="s">
        <v>7</v>
      </c>
      <c r="N35" s="39" t="s">
        <v>8</v>
      </c>
    </row>
    <row r="36" spans="3:14" ht="12.75" customHeight="1" outlineLevel="1">
      <c r="C36" s="9" t="s">
        <v>33</v>
      </c>
      <c r="D36" s="117" t="s">
        <v>34</v>
      </c>
      <c r="E36" s="109" t="s">
        <v>35</v>
      </c>
      <c r="F36" s="118" t="s">
        <v>36</v>
      </c>
      <c r="G36" s="88"/>
      <c r="H36" s="88"/>
      <c r="I36" s="40" t="s">
        <v>24</v>
      </c>
      <c r="J36" s="42">
        <f>C41</f>
        <v>0.96</v>
      </c>
      <c r="K36" s="43">
        <f>D41</f>
        <v>0.32999999999999996</v>
      </c>
      <c r="L36" s="43">
        <f>E41</f>
        <v>0.37</v>
      </c>
      <c r="M36" s="43">
        <f>F41</f>
        <v>0.034</v>
      </c>
      <c r="N36" s="44">
        <f>G41</f>
        <v>0.098</v>
      </c>
    </row>
    <row r="37" spans="3:14" ht="12.75" customHeight="1" outlineLevel="1" thickBot="1">
      <c r="C37" s="49" t="s">
        <v>37</v>
      </c>
      <c r="D37" s="119">
        <v>45</v>
      </c>
      <c r="E37" s="120">
        <v>15</v>
      </c>
      <c r="F37" s="112">
        <v>10</v>
      </c>
      <c r="I37" s="41" t="s">
        <v>28</v>
      </c>
      <c r="J37" s="45">
        <v>0.521</v>
      </c>
      <c r="K37" s="46">
        <v>0.75</v>
      </c>
      <c r="L37" s="46">
        <v>1</v>
      </c>
      <c r="M37" s="46">
        <v>0.2</v>
      </c>
      <c r="N37" s="47">
        <v>0.82</v>
      </c>
    </row>
    <row r="38" spans="3:19" ht="7.5" customHeight="1" outlineLevel="1">
      <c r="C38" s="104"/>
      <c r="D38" s="105"/>
      <c r="E38" s="105"/>
      <c r="F38" s="105"/>
      <c r="I38" s="227" t="s">
        <v>25</v>
      </c>
      <c r="J38" s="252">
        <f>J36*J37</f>
        <v>0.50016</v>
      </c>
      <c r="K38" s="252">
        <f>K36*K37</f>
        <v>0.24749999999999997</v>
      </c>
      <c r="L38" s="252">
        <f>L36*L37</f>
        <v>0.37</v>
      </c>
      <c r="M38" s="252">
        <f>M36*M37</f>
        <v>0.0068000000000000005</v>
      </c>
      <c r="N38" s="260">
        <f>N36*N37</f>
        <v>0.08036</v>
      </c>
      <c r="O38" s="180"/>
      <c r="P38" s="180"/>
      <c r="Q38" s="180"/>
      <c r="R38" s="180"/>
      <c r="S38" s="180"/>
    </row>
    <row r="39" spans="3:19" ht="12.75" customHeight="1" outlineLevel="1" thickBot="1">
      <c r="C39" s="224" t="s">
        <v>22</v>
      </c>
      <c r="D39" s="224"/>
      <c r="E39" s="224"/>
      <c r="F39" s="224"/>
      <c r="G39" s="224"/>
      <c r="I39" s="228"/>
      <c r="J39" s="253"/>
      <c r="K39" s="253"/>
      <c r="L39" s="253"/>
      <c r="M39" s="253"/>
      <c r="N39" s="261"/>
      <c r="O39" s="181">
        <f>J38</f>
        <v>0.50016</v>
      </c>
      <c r="P39" s="181">
        <f>K38</f>
        <v>0.24749999999999997</v>
      </c>
      <c r="Q39" s="181">
        <f>L38</f>
        <v>0.37</v>
      </c>
      <c r="R39" s="181">
        <f>M38</f>
        <v>0.0068000000000000005</v>
      </c>
      <c r="S39" s="181">
        <f>N38</f>
        <v>0.08036</v>
      </c>
    </row>
    <row r="40" spans="3:14" ht="12.75" customHeight="1" outlineLevel="1">
      <c r="C40" s="14" t="s">
        <v>2</v>
      </c>
      <c r="D40" s="4" t="s">
        <v>3</v>
      </c>
      <c r="E40" s="4" t="s">
        <v>4</v>
      </c>
      <c r="F40" s="4" t="s">
        <v>7</v>
      </c>
      <c r="G40" s="5" t="s">
        <v>8</v>
      </c>
      <c r="I40" s="227" t="s">
        <v>26</v>
      </c>
      <c r="J40" s="267">
        <f>J36-J38</f>
        <v>0.4598399999999999</v>
      </c>
      <c r="K40" s="267">
        <f>K36-K38</f>
        <v>0.08249999999999999</v>
      </c>
      <c r="L40" s="267">
        <f>L36-L38</f>
        <v>0</v>
      </c>
      <c r="M40" s="267">
        <f>M36-M38</f>
        <v>0.027200000000000002</v>
      </c>
      <c r="N40" s="264">
        <f>N36-N38</f>
        <v>0.017640000000000003</v>
      </c>
    </row>
    <row r="41" spans="3:19" ht="12.75" customHeight="1" outlineLevel="1" thickBot="1">
      <c r="C41" s="29">
        <f>H12*C12/100+H13*C13/100</f>
        <v>0.96</v>
      </c>
      <c r="D41" s="21">
        <f>H12*D12/100+H13*D13/100</f>
        <v>0.32999999999999996</v>
      </c>
      <c r="E41" s="21">
        <f>H12*E12/100+H13*E13/100</f>
        <v>0.37</v>
      </c>
      <c r="F41" s="21">
        <f>H12*F12/100+H13*F13/100</f>
        <v>0.034</v>
      </c>
      <c r="G41" s="22">
        <f>H12*G12/100+H13*G13/100</f>
        <v>0.098</v>
      </c>
      <c r="I41" s="262"/>
      <c r="J41" s="268"/>
      <c r="K41" s="268"/>
      <c r="L41" s="268"/>
      <c r="M41" s="268"/>
      <c r="N41" s="265"/>
      <c r="O41" s="181">
        <f>J40</f>
        <v>0.4598399999999999</v>
      </c>
      <c r="P41" s="181">
        <f>K40</f>
        <v>0.08249999999999999</v>
      </c>
      <c r="Q41" s="181">
        <f>L40</f>
        <v>0</v>
      </c>
      <c r="R41" s="181">
        <f>M40</f>
        <v>0.027200000000000002</v>
      </c>
      <c r="S41" s="181">
        <f>N40</f>
        <v>0.017640000000000003</v>
      </c>
    </row>
    <row r="42" spans="9:14" ht="11.25" customHeight="1" outlineLevel="1" thickBot="1">
      <c r="I42" s="263"/>
      <c r="J42" s="269"/>
      <c r="K42" s="269"/>
      <c r="L42" s="269"/>
      <c r="M42" s="269"/>
      <c r="N42" s="266"/>
    </row>
    <row r="43" spans="2:8" ht="12.75" customHeight="1" outlineLevel="1">
      <c r="B43" s="221" t="s">
        <v>14</v>
      </c>
      <c r="C43" s="221"/>
      <c r="D43" s="221"/>
      <c r="E43" s="221"/>
      <c r="F43" s="18" t="s">
        <v>16</v>
      </c>
      <c r="G43" s="33">
        <f>C5+H31-H32-0.05</f>
        <v>0.94</v>
      </c>
      <c r="H43" t="s">
        <v>21</v>
      </c>
    </row>
    <row r="44" spans="2:6" ht="12.75" customHeight="1" outlineLevel="1">
      <c r="B44" s="229" t="s">
        <v>38</v>
      </c>
      <c r="C44" s="229"/>
      <c r="D44" s="229"/>
      <c r="E44" s="230"/>
      <c r="F44" s="32">
        <v>10000</v>
      </c>
    </row>
    <row r="45" spans="1:6" ht="12.75" customHeight="1" outlineLevel="1">
      <c r="A45" s="229" t="s">
        <v>39</v>
      </c>
      <c r="B45" s="229"/>
      <c r="C45" s="229"/>
      <c r="D45" s="229"/>
      <c r="E45" s="229"/>
      <c r="F45" s="50">
        <f>142/62*N38</f>
        <v>0.1840503225806452</v>
      </c>
    </row>
    <row r="46" spans="2:7" ht="12.75" customHeight="1" outlineLevel="1">
      <c r="B46" s="221" t="s">
        <v>40</v>
      </c>
      <c r="C46" s="221"/>
      <c r="D46" s="221"/>
      <c r="E46" s="221"/>
      <c r="F46" s="50">
        <f>F44*N40*N40</f>
        <v>3.111696000000001</v>
      </c>
      <c r="G46" t="s">
        <v>21</v>
      </c>
    </row>
    <row r="47" spans="2:7" ht="12.75" customHeight="1" outlineLevel="1">
      <c r="B47" s="221" t="s">
        <v>41</v>
      </c>
      <c r="C47" s="221"/>
      <c r="D47" s="221"/>
      <c r="E47" s="221"/>
      <c r="F47" s="33">
        <f>F45/F46*100</f>
        <v>5.91479124505238</v>
      </c>
      <c r="G47" t="s">
        <v>42</v>
      </c>
    </row>
    <row r="48" ht="12.75" outlineLevel="1"/>
    <row r="49" spans="2:6" ht="12.75" customHeight="1" outlineLevel="1">
      <c r="B49" s="259" t="s">
        <v>43</v>
      </c>
      <c r="C49" s="259"/>
      <c r="D49" s="259"/>
      <c r="E49" s="1" t="s">
        <v>44</v>
      </c>
      <c r="F49" s="32">
        <v>25</v>
      </c>
    </row>
    <row r="50" spans="5:6" ht="12.75" outlineLevel="1">
      <c r="E50" s="1" t="s">
        <v>45</v>
      </c>
      <c r="F50" s="32">
        <f>100-F49</f>
        <v>75</v>
      </c>
    </row>
    <row r="51" ht="13.5" outlineLevel="1" thickBot="1"/>
    <row r="52" spans="2:12" ht="38.25" customHeight="1" outlineLevel="1" thickBot="1">
      <c r="B52" s="52" t="s">
        <v>46</v>
      </c>
      <c r="C52" s="55" t="s">
        <v>47</v>
      </c>
      <c r="D52" s="225" t="s">
        <v>48</v>
      </c>
      <c r="E52" s="274"/>
      <c r="F52" s="225" t="s">
        <v>49</v>
      </c>
      <c r="G52" s="274"/>
      <c r="H52" s="225" t="s">
        <v>50</v>
      </c>
      <c r="I52" s="226"/>
      <c r="J52" s="216"/>
      <c r="K52" s="200"/>
      <c r="L52" s="13"/>
    </row>
    <row r="53" spans="2:12" ht="12.75" customHeight="1" outlineLevel="1">
      <c r="B53" s="60" t="s">
        <v>53</v>
      </c>
      <c r="C53" s="51">
        <f>F50*C55/100</f>
        <v>0.37512</v>
      </c>
      <c r="D53" s="270" t="s">
        <v>55</v>
      </c>
      <c r="E53" s="271"/>
      <c r="F53" s="272">
        <f>C53*16/12</f>
        <v>0.50016</v>
      </c>
      <c r="G53" s="273"/>
      <c r="H53" s="280">
        <f>C53*28/12</f>
        <v>0.8752800000000001</v>
      </c>
      <c r="I53" s="281"/>
      <c r="J53" s="183">
        <f>F53</f>
        <v>0.50016</v>
      </c>
      <c r="K53" s="183"/>
      <c r="L53" s="183">
        <f aca="true" t="shared" si="1" ref="L53:L59">H53</f>
        <v>0.8752800000000001</v>
      </c>
    </row>
    <row r="54" spans="2:12" ht="12.75" customHeight="1" outlineLevel="1">
      <c r="B54" s="59" t="s">
        <v>54</v>
      </c>
      <c r="C54" s="51">
        <f>F49/100*C55</f>
        <v>0.12504</v>
      </c>
      <c r="D54" s="275" t="s">
        <v>56</v>
      </c>
      <c r="E54" s="276"/>
      <c r="F54" s="257">
        <f>C54*32/12</f>
        <v>0.33344</v>
      </c>
      <c r="G54" s="258"/>
      <c r="H54" s="282">
        <f>C54*44/12</f>
        <v>0.45848000000000005</v>
      </c>
      <c r="I54" s="283"/>
      <c r="J54" s="183">
        <f>F54</f>
        <v>0.33344</v>
      </c>
      <c r="K54" s="183"/>
      <c r="L54" s="183">
        <f t="shared" si="1"/>
        <v>0.45848000000000005</v>
      </c>
    </row>
    <row r="55" spans="2:12" ht="12.75" customHeight="1" outlineLevel="1">
      <c r="B55" s="59" t="s">
        <v>52</v>
      </c>
      <c r="C55" s="58">
        <f>J38</f>
        <v>0.50016</v>
      </c>
      <c r="D55" s="277"/>
      <c r="E55" s="278"/>
      <c r="F55" s="284">
        <f>SUM(F53:G54)</f>
        <v>0.8336000000000001</v>
      </c>
      <c r="G55" s="289"/>
      <c r="H55" s="284">
        <f>SUM(H53:I54)</f>
        <v>1.33376</v>
      </c>
      <c r="I55" s="285"/>
      <c r="J55" s="217"/>
      <c r="K55" s="279"/>
      <c r="L55" s="183">
        <f t="shared" si="1"/>
        <v>1.33376</v>
      </c>
    </row>
    <row r="56" spans="2:12" ht="12.75" customHeight="1" outlineLevel="1">
      <c r="B56" s="36" t="s">
        <v>4</v>
      </c>
      <c r="C56" s="45">
        <f>L38</f>
        <v>0.37</v>
      </c>
      <c r="D56" s="249" t="s">
        <v>57</v>
      </c>
      <c r="E56" s="250"/>
      <c r="F56" s="286">
        <f>C56*32/28</f>
        <v>0.4228571428571429</v>
      </c>
      <c r="G56" s="288"/>
      <c r="H56" s="286">
        <f>C56*60/28</f>
        <v>0.7928571428571428</v>
      </c>
      <c r="I56" s="287"/>
      <c r="J56" s="182">
        <f>F56</f>
        <v>0.4228571428571429</v>
      </c>
      <c r="K56" s="182"/>
      <c r="L56" s="182">
        <f t="shared" si="1"/>
        <v>0.7928571428571428</v>
      </c>
    </row>
    <row r="57" spans="2:12" ht="12.75" customHeight="1" outlineLevel="1">
      <c r="B57" s="36" t="s">
        <v>3</v>
      </c>
      <c r="C57" s="48">
        <f>K38</f>
        <v>0.24749999999999997</v>
      </c>
      <c r="D57" s="249" t="s">
        <v>58</v>
      </c>
      <c r="E57" s="250"/>
      <c r="F57" s="286">
        <f>C57*16/55</f>
        <v>0.072</v>
      </c>
      <c r="G57" s="288"/>
      <c r="H57" s="286">
        <f>C57*71/55</f>
        <v>0.31949999999999995</v>
      </c>
      <c r="I57" s="287"/>
      <c r="J57" s="182">
        <f>F57</f>
        <v>0.072</v>
      </c>
      <c r="K57" s="182"/>
      <c r="L57" s="182">
        <f t="shared" si="1"/>
        <v>0.31949999999999995</v>
      </c>
    </row>
    <row r="58" spans="2:12" ht="13.5" customHeight="1" outlineLevel="1" thickBot="1">
      <c r="B58" s="53" t="s">
        <v>8</v>
      </c>
      <c r="C58" s="48">
        <f>N38</f>
        <v>0.08036</v>
      </c>
      <c r="D58" s="249" t="s">
        <v>59</v>
      </c>
      <c r="E58" s="250"/>
      <c r="F58" s="286">
        <f>C58*80/62</f>
        <v>0.10369032258064516</v>
      </c>
      <c r="G58" s="288"/>
      <c r="H58" s="286">
        <f>C58*142/62</f>
        <v>0.18405032258064516</v>
      </c>
      <c r="I58" s="287"/>
      <c r="J58" s="182">
        <f>F58</f>
        <v>0.10369032258064516</v>
      </c>
      <c r="K58" s="182"/>
      <c r="L58" s="182">
        <f t="shared" si="1"/>
        <v>0.18405032258064516</v>
      </c>
    </row>
    <row r="59" spans="2:12" ht="13.5" customHeight="1" outlineLevel="1" thickBot="1">
      <c r="B59" s="54" t="s">
        <v>51</v>
      </c>
      <c r="C59" s="57">
        <f>SUM(C55:C58)</f>
        <v>1.19802</v>
      </c>
      <c r="D59" s="293"/>
      <c r="E59" s="293"/>
      <c r="F59" s="290">
        <f>SUM(F55:G58)</f>
        <v>1.4321474654377881</v>
      </c>
      <c r="G59" s="290"/>
      <c r="H59" s="290">
        <f>SUM(H55:I58)</f>
        <v>2.6301674654377885</v>
      </c>
      <c r="I59" s="291"/>
      <c r="J59" s="182">
        <f>F59</f>
        <v>1.4321474654377881</v>
      </c>
      <c r="K59" s="13"/>
      <c r="L59" s="182">
        <f t="shared" si="1"/>
        <v>2.6301674654377885</v>
      </c>
    </row>
    <row r="60" spans="10:12" ht="12.75" outlineLevel="1">
      <c r="J60" s="13"/>
      <c r="K60" s="13"/>
      <c r="L60" s="13"/>
    </row>
    <row r="61" spans="1:9" ht="12.75" customHeight="1" outlineLevel="1">
      <c r="A61" s="292" t="s">
        <v>61</v>
      </c>
      <c r="B61" s="292"/>
      <c r="C61" s="292"/>
      <c r="D61" s="251" t="s">
        <v>60</v>
      </c>
      <c r="E61" s="251"/>
      <c r="F61" s="251"/>
      <c r="G61" s="251"/>
      <c r="H61" s="50">
        <f>F59*72/16</f>
        <v>6.444663594470047</v>
      </c>
      <c r="I61" t="s">
        <v>42</v>
      </c>
    </row>
    <row r="62" spans="1:9" ht="12.75" customHeight="1" outlineLevel="1">
      <c r="A62" s="292"/>
      <c r="B62" s="292"/>
      <c r="C62" s="292"/>
      <c r="D62" s="251" t="s">
        <v>62</v>
      </c>
      <c r="E62" s="251"/>
      <c r="F62" s="251"/>
      <c r="G62" s="251"/>
      <c r="H62" s="50">
        <f>F47*E37/100</f>
        <v>0.887218686757857</v>
      </c>
      <c r="I62" t="s">
        <v>42</v>
      </c>
    </row>
    <row r="63" spans="2:10" ht="12.75" customHeight="1" outlineLevel="1">
      <c r="B63" s="229" t="s">
        <v>63</v>
      </c>
      <c r="C63" s="229"/>
      <c r="D63" s="229"/>
      <c r="E63" s="229"/>
      <c r="F63" s="229"/>
      <c r="G63" s="229"/>
      <c r="H63" s="50">
        <f>J63/J40</f>
        <v>0.005871607515657622</v>
      </c>
      <c r="I63" t="s">
        <v>42</v>
      </c>
      <c r="J63" s="32">
        <v>0.0027</v>
      </c>
    </row>
    <row r="64" spans="2:9" ht="12.75" customHeight="1" outlineLevel="1">
      <c r="B64" s="229" t="s">
        <v>64</v>
      </c>
      <c r="C64" s="229"/>
      <c r="D64" s="229"/>
      <c r="E64" s="229"/>
      <c r="F64" s="229"/>
      <c r="G64" s="229"/>
      <c r="H64" s="50">
        <f>72/16*H63</f>
        <v>0.026422233820459298</v>
      </c>
      <c r="I64" t="s">
        <v>42</v>
      </c>
    </row>
    <row r="65" spans="2:9" ht="12.75" customHeight="1" outlineLevel="1">
      <c r="B65" s="229" t="s">
        <v>65</v>
      </c>
      <c r="C65" s="229"/>
      <c r="D65" s="229"/>
      <c r="E65" s="229"/>
      <c r="F65" s="229"/>
      <c r="G65" s="229"/>
      <c r="H65" s="50">
        <f>H64*56/72</f>
        <v>0.020550626304801676</v>
      </c>
      <c r="I65" t="s">
        <v>42</v>
      </c>
    </row>
    <row r="66" spans="2:9" ht="12.75" customHeight="1" outlineLevel="1">
      <c r="B66" s="229" t="s">
        <v>66</v>
      </c>
      <c r="C66" s="229"/>
      <c r="D66" s="229"/>
      <c r="E66" s="229"/>
      <c r="F66" s="229"/>
      <c r="G66" s="229"/>
      <c r="H66" s="50">
        <f>H61+H62+H64</f>
        <v>7.358304515048363</v>
      </c>
      <c r="I66" t="s">
        <v>42</v>
      </c>
    </row>
    <row r="67" spans="2:9" ht="12.75" customHeight="1" outlineLevel="1">
      <c r="B67" s="229" t="s">
        <v>67</v>
      </c>
      <c r="C67" s="229"/>
      <c r="D67" s="229"/>
      <c r="E67" s="229"/>
      <c r="F67" s="229"/>
      <c r="G67" s="229"/>
      <c r="H67" s="50">
        <f>H66*160/216</f>
        <v>5.450595937072861</v>
      </c>
      <c r="I67" t="s">
        <v>42</v>
      </c>
    </row>
    <row r="68" spans="2:9" ht="12.75" customHeight="1" outlineLevel="1">
      <c r="B68" s="229" t="s">
        <v>68</v>
      </c>
      <c r="C68" s="229"/>
      <c r="D68" s="229"/>
      <c r="E68" s="229"/>
      <c r="F68" s="229"/>
      <c r="G68" s="229"/>
      <c r="H68" s="50">
        <f>H67*56/160</f>
        <v>1.9077085779755012</v>
      </c>
      <c r="I68" t="s">
        <v>42</v>
      </c>
    </row>
    <row r="69" spans="2:9" ht="12.75" customHeight="1" outlineLevel="1">
      <c r="B69" s="229" t="s">
        <v>69</v>
      </c>
      <c r="C69" s="229"/>
      <c r="D69" s="229"/>
      <c r="E69" s="229"/>
      <c r="F69" s="229"/>
      <c r="G69" s="229"/>
      <c r="H69" s="50">
        <f>H67/0.9</f>
        <v>6.0562177078587345</v>
      </c>
      <c r="I69" t="s">
        <v>42</v>
      </c>
    </row>
    <row r="70" spans="2:8" ht="12.75" customHeight="1" outlineLevel="1">
      <c r="B70" s="18"/>
      <c r="C70" s="229" t="s">
        <v>134</v>
      </c>
      <c r="D70" s="229"/>
      <c r="E70" s="229"/>
      <c r="F70" s="229"/>
      <c r="G70" s="230"/>
      <c r="H70" s="32">
        <v>92</v>
      </c>
    </row>
    <row r="71" spans="2:10" ht="12.75" customHeight="1" outlineLevel="1">
      <c r="B71" s="294" t="s">
        <v>70</v>
      </c>
      <c r="C71" s="294"/>
      <c r="D71" s="294"/>
      <c r="E71" s="294"/>
      <c r="F71" s="294"/>
      <c r="G71" s="294"/>
      <c r="H71" s="70">
        <f>F47*D37/H70</f>
        <v>2.893104413340838</v>
      </c>
      <c r="I71" s="62" t="s">
        <v>42</v>
      </c>
      <c r="J71" s="62"/>
    </row>
    <row r="72" spans="2:10" ht="12.75" customHeight="1" outlineLevel="1">
      <c r="B72" s="297" t="s">
        <v>84</v>
      </c>
      <c r="C72" s="297"/>
      <c r="D72" s="298"/>
      <c r="E72" s="69">
        <v>0.9</v>
      </c>
      <c r="F72" s="295" t="s">
        <v>85</v>
      </c>
      <c r="G72" s="296"/>
      <c r="H72" s="1">
        <f>E72/3*2</f>
        <v>0.6</v>
      </c>
      <c r="I72" s="73" t="s">
        <v>87</v>
      </c>
      <c r="J72" s="1">
        <f>H72*0.5</f>
        <v>0.3</v>
      </c>
    </row>
    <row r="73" spans="6:10" ht="12.75" customHeight="1" outlineLevel="1">
      <c r="F73" s="221" t="s">
        <v>86</v>
      </c>
      <c r="G73" s="221"/>
      <c r="H73" s="1">
        <f>E72-H72</f>
        <v>0.30000000000000004</v>
      </c>
      <c r="I73" s="1"/>
      <c r="J73" s="1"/>
    </row>
    <row r="74" spans="6:10" ht="12.75" outlineLevel="1">
      <c r="F74" s="1"/>
      <c r="G74" s="1"/>
      <c r="H74" s="1"/>
      <c r="I74" s="1"/>
      <c r="J74" s="1"/>
    </row>
    <row r="75" spans="2:18" ht="13.5" customHeight="1" outlineLevel="1" thickBot="1">
      <c r="B75" s="224" t="s">
        <v>88</v>
      </c>
      <c r="C75" s="224"/>
      <c r="D75" s="224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</row>
    <row r="76" spans="2:18" ht="12.75" customHeight="1" outlineLevel="1">
      <c r="B76" s="234" t="s">
        <v>71</v>
      </c>
      <c r="C76" s="234" t="s">
        <v>77</v>
      </c>
      <c r="D76" s="231" t="s">
        <v>78</v>
      </c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233"/>
    </row>
    <row r="77" spans="2:18" ht="12.75" customHeight="1" outlineLevel="1">
      <c r="B77" s="248"/>
      <c r="C77" s="248"/>
      <c r="D77" s="256" t="s">
        <v>30</v>
      </c>
      <c r="E77" s="250"/>
      <c r="F77" s="249" t="s">
        <v>31</v>
      </c>
      <c r="G77" s="250"/>
      <c r="H77" s="249" t="s">
        <v>32</v>
      </c>
      <c r="I77" s="250"/>
      <c r="J77" s="249" t="s">
        <v>79</v>
      </c>
      <c r="K77" s="250"/>
      <c r="L77" s="249" t="s">
        <v>80</v>
      </c>
      <c r="M77" s="250"/>
      <c r="N77" s="249" t="s">
        <v>81</v>
      </c>
      <c r="O77" s="250"/>
      <c r="P77" s="249" t="s">
        <v>82</v>
      </c>
      <c r="Q77" s="250"/>
      <c r="R77" s="254" t="s">
        <v>83</v>
      </c>
    </row>
    <row r="78" spans="2:18" ht="13.5" customHeight="1" outlineLevel="1" thickBot="1">
      <c r="B78" s="235"/>
      <c r="C78" s="235"/>
      <c r="D78" s="8" t="s">
        <v>21</v>
      </c>
      <c r="E78" s="6" t="s">
        <v>42</v>
      </c>
      <c r="F78" s="6" t="s">
        <v>21</v>
      </c>
      <c r="G78" s="6" t="s">
        <v>42</v>
      </c>
      <c r="H78" s="6" t="s">
        <v>21</v>
      </c>
      <c r="I78" s="6" t="s">
        <v>42</v>
      </c>
      <c r="J78" s="6" t="s">
        <v>21</v>
      </c>
      <c r="K78" s="6" t="s">
        <v>42</v>
      </c>
      <c r="L78" s="6" t="s">
        <v>21</v>
      </c>
      <c r="M78" s="6" t="s">
        <v>42</v>
      </c>
      <c r="N78" s="6" t="s">
        <v>21</v>
      </c>
      <c r="O78" s="6" t="s">
        <v>42</v>
      </c>
      <c r="P78" s="6" t="s">
        <v>21</v>
      </c>
      <c r="Q78" s="6" t="s">
        <v>42</v>
      </c>
      <c r="R78" s="255"/>
    </row>
    <row r="79" spans="2:18" ht="12.75" outlineLevel="1">
      <c r="B79" s="63" t="s">
        <v>72</v>
      </c>
      <c r="C79" s="36"/>
      <c r="D79" s="34"/>
      <c r="E79" s="34"/>
      <c r="F79" s="34"/>
      <c r="G79" s="34"/>
      <c r="H79" s="34"/>
      <c r="I79" s="106">
        <f>H56</f>
        <v>0.7928571428571428</v>
      </c>
      <c r="J79" s="34"/>
      <c r="K79" s="34"/>
      <c r="L79" s="34"/>
      <c r="M79" s="197">
        <f>H57</f>
        <v>0.31949999999999995</v>
      </c>
      <c r="N79" s="34"/>
      <c r="O79" s="34"/>
      <c r="P79" s="34"/>
      <c r="Q79" s="106">
        <f>H58</f>
        <v>0.18405032258064516</v>
      </c>
      <c r="R79" s="79">
        <f>E79+G79+I79+K79+M79+O79+Q79</f>
        <v>1.296407465437788</v>
      </c>
    </row>
    <row r="80" spans="2:18" ht="12.75" outlineLevel="1">
      <c r="B80" s="63" t="s">
        <v>73</v>
      </c>
      <c r="C80" s="67">
        <f>H69</f>
        <v>6.0562177078587345</v>
      </c>
      <c r="D80" s="34">
        <v>0.3</v>
      </c>
      <c r="E80" s="106">
        <f>D80*C80/100</f>
        <v>0.0181686531235762</v>
      </c>
      <c r="F80" s="106"/>
      <c r="G80" s="106">
        <f>H62</f>
        <v>0.887218686757857</v>
      </c>
      <c r="H80" s="34">
        <v>5.75</v>
      </c>
      <c r="I80" s="106">
        <f>H80*C80/100</f>
        <v>0.34823251820187723</v>
      </c>
      <c r="J80" s="106">
        <v>2.5</v>
      </c>
      <c r="K80" s="106">
        <f>J80*C80/100</f>
        <v>0.15140544269646836</v>
      </c>
      <c r="L80" s="34"/>
      <c r="M80" s="197"/>
      <c r="N80" s="106">
        <v>0.3</v>
      </c>
      <c r="O80" s="106">
        <f>N80*C80/100</f>
        <v>0.0181686531235762</v>
      </c>
      <c r="P80" s="34">
        <v>0.15</v>
      </c>
      <c r="Q80" s="34"/>
      <c r="R80" s="79">
        <f>E80+G80+I80+K80+M80+O80+Q80</f>
        <v>1.4231939539033551</v>
      </c>
    </row>
    <row r="81" spans="2:18" ht="12.75" outlineLevel="1">
      <c r="B81" s="63" t="s">
        <v>74</v>
      </c>
      <c r="C81" s="67">
        <f>H71</f>
        <v>2.893104413340838</v>
      </c>
      <c r="D81" s="34">
        <v>92</v>
      </c>
      <c r="E81" s="106">
        <f>D81*C81/100</f>
        <v>2.6616560602735713</v>
      </c>
      <c r="F81" s="106">
        <v>0.86</v>
      </c>
      <c r="G81" s="106">
        <f>F81*C81/100</f>
        <v>0.024880697954731204</v>
      </c>
      <c r="H81" s="34">
        <v>2.3</v>
      </c>
      <c r="I81" s="106">
        <f>H81*C81/100</f>
        <v>0.06654140150683928</v>
      </c>
      <c r="J81" s="106">
        <v>1</v>
      </c>
      <c r="K81" s="106">
        <f>J81*C81/100</f>
        <v>0.02893104413340838</v>
      </c>
      <c r="L81" s="34"/>
      <c r="M81" s="197"/>
      <c r="N81" s="106">
        <v>3.3</v>
      </c>
      <c r="O81" s="106">
        <f>N81*C81/100</f>
        <v>0.09547244564024765</v>
      </c>
      <c r="P81" s="34">
        <v>0.1</v>
      </c>
      <c r="Q81" s="34"/>
      <c r="R81" s="79">
        <f>E81+G81+I81+K81+M81+O81+Q81</f>
        <v>2.8774816495087983</v>
      </c>
    </row>
    <row r="82" spans="2:18" ht="12.75" outlineLevel="1">
      <c r="B82" s="63" t="s">
        <v>75</v>
      </c>
      <c r="C82" s="36">
        <f>J72</f>
        <v>0.3</v>
      </c>
      <c r="D82" s="34">
        <v>3.8</v>
      </c>
      <c r="E82" s="106">
        <f>C82*D82/100</f>
        <v>0.011399999999999999</v>
      </c>
      <c r="F82" s="106">
        <v>2.7</v>
      </c>
      <c r="G82" s="106">
        <f>F82*C82/100</f>
        <v>0.008100000000000001</v>
      </c>
      <c r="H82" s="34">
        <v>3.45</v>
      </c>
      <c r="I82" s="106">
        <f>C82*H82/100</f>
        <v>0.01035</v>
      </c>
      <c r="J82" s="106">
        <v>0.1</v>
      </c>
      <c r="K82" s="106">
        <f>J82*C82/100</f>
        <v>0.0003</v>
      </c>
      <c r="L82" s="34"/>
      <c r="M82" s="197"/>
      <c r="N82" s="197">
        <v>90.25</v>
      </c>
      <c r="O82" s="106">
        <f>N82*C82/100</f>
        <v>0.27075</v>
      </c>
      <c r="P82" s="34"/>
      <c r="Q82" s="34"/>
      <c r="R82" s="79">
        <f>E82+G82+I82+K82+M82+O82+Q82</f>
        <v>0.3009</v>
      </c>
    </row>
    <row r="83" spans="2:19" ht="13.5" outlineLevel="1" thickBot="1">
      <c r="B83" s="65" t="s">
        <v>76</v>
      </c>
      <c r="C83" s="66"/>
      <c r="D83" s="189">
        <f>E83/R83*100</f>
        <v>45.62957678889903</v>
      </c>
      <c r="E83" s="189">
        <f>SUM(E79:E82)</f>
        <v>2.6912247133971476</v>
      </c>
      <c r="F83" s="189">
        <f>G83/R83*100</f>
        <v>15.60193330449861</v>
      </c>
      <c r="G83" s="189">
        <f>SUM(G79:G82)</f>
        <v>0.9201993847125882</v>
      </c>
      <c r="H83" s="189">
        <f>I83/R83*100</f>
        <v>20.650806357830994</v>
      </c>
      <c r="I83" s="189">
        <f>SUM(I79:I82)</f>
        <v>1.2179810625658594</v>
      </c>
      <c r="J83" s="189">
        <f>K83/R83*100</f>
        <v>3.0626823563449017</v>
      </c>
      <c r="K83" s="189">
        <f>SUM(K79:K82)</f>
        <v>0.18063648682987674</v>
      </c>
      <c r="L83" s="189">
        <f>M83*100/R83</f>
        <v>5.417106089833178</v>
      </c>
      <c r="M83" s="196">
        <f>SUM(M79:M82)</f>
        <v>0.31949999999999995</v>
      </c>
      <c r="N83" s="189">
        <f>O83/R83*100</f>
        <v>6.517331336435609</v>
      </c>
      <c r="O83" s="189">
        <f>SUM(O79:O82)</f>
        <v>0.3843910987638238</v>
      </c>
      <c r="P83" s="189">
        <f>Q83/R83*100</f>
        <v>3.120563766157665</v>
      </c>
      <c r="Q83" s="189">
        <f>SUM(Q79:Q82)</f>
        <v>0.18405032258064516</v>
      </c>
      <c r="R83" s="107">
        <f>SUM(R79:R82)</f>
        <v>5.897983068849942</v>
      </c>
      <c r="S83" s="72"/>
    </row>
    <row r="84" ht="12.75" outlineLevel="1"/>
    <row r="85" spans="2:12" ht="13.5" customHeight="1" outlineLevel="1" thickBot="1">
      <c r="B85" s="229" t="s">
        <v>89</v>
      </c>
      <c r="C85" s="229"/>
      <c r="D85" s="229"/>
      <c r="E85" s="124">
        <f>E83/I83</f>
        <v>2.209578454140888</v>
      </c>
      <c r="G85" s="224" t="s">
        <v>93</v>
      </c>
      <c r="H85" s="224"/>
      <c r="I85" s="224"/>
      <c r="J85" s="224"/>
      <c r="K85" s="224"/>
      <c r="L85" s="224"/>
    </row>
    <row r="86" spans="2:12" ht="13.5" customHeight="1" outlineLevel="1" thickBot="1">
      <c r="B86" s="229" t="s">
        <v>90</v>
      </c>
      <c r="C86" s="229"/>
      <c r="D86" s="229"/>
      <c r="E86" s="50">
        <f>100+H61-F59-C59+H65-E87-H68</f>
        <v>99.92733817736155</v>
      </c>
      <c r="G86" s="302" t="s">
        <v>94</v>
      </c>
      <c r="H86" s="303"/>
      <c r="I86" s="304"/>
      <c r="J86" s="302" t="s">
        <v>95</v>
      </c>
      <c r="K86" s="303"/>
      <c r="L86" s="304"/>
    </row>
    <row r="87" spans="2:12" ht="12.75" customHeight="1" outlineLevel="1">
      <c r="B87" s="229" t="s">
        <v>91</v>
      </c>
      <c r="C87" s="229"/>
      <c r="D87" s="229"/>
      <c r="E87" s="1">
        <v>2</v>
      </c>
      <c r="G87" s="219" t="s">
        <v>96</v>
      </c>
      <c r="H87" s="220"/>
      <c r="I87" s="79">
        <f>H12</f>
        <v>80</v>
      </c>
      <c r="J87" s="219" t="s">
        <v>102</v>
      </c>
      <c r="K87" s="220"/>
      <c r="L87" s="79">
        <f>E86-E89</f>
        <v>99.72748350100683</v>
      </c>
    </row>
    <row r="88" spans="2:12" ht="12.75" customHeight="1" outlineLevel="1">
      <c r="B88" s="229" t="s">
        <v>92</v>
      </c>
      <c r="C88" s="229"/>
      <c r="D88" s="229"/>
      <c r="E88" s="1">
        <v>0.2</v>
      </c>
      <c r="F88" t="s">
        <v>21</v>
      </c>
      <c r="G88" s="217" t="s">
        <v>97</v>
      </c>
      <c r="H88" s="218"/>
      <c r="I88" s="79">
        <f>H13</f>
        <v>20</v>
      </c>
      <c r="J88" s="217" t="s">
        <v>103</v>
      </c>
      <c r="K88" s="218"/>
      <c r="L88" s="79">
        <f>R83</f>
        <v>5.897983068849942</v>
      </c>
    </row>
    <row r="89" spans="2:12" ht="12.75" customHeight="1" outlineLevel="1">
      <c r="B89" s="229" t="s">
        <v>92</v>
      </c>
      <c r="C89" s="229"/>
      <c r="D89" s="229"/>
      <c r="E89" s="50">
        <f>E88*E86/100</f>
        <v>0.19985467635472312</v>
      </c>
      <c r="F89" t="s">
        <v>42</v>
      </c>
      <c r="G89" s="217" t="s">
        <v>98</v>
      </c>
      <c r="H89" s="218"/>
      <c r="I89" s="79">
        <f>H69</f>
        <v>6.0562177078587345</v>
      </c>
      <c r="J89" s="217" t="s">
        <v>104</v>
      </c>
      <c r="K89" s="218"/>
      <c r="L89" s="79">
        <f>E87</f>
        <v>2</v>
      </c>
    </row>
    <row r="90" spans="7:12" ht="12.75" customHeight="1" outlineLevel="1">
      <c r="G90" s="217" t="s">
        <v>99</v>
      </c>
      <c r="H90" s="218"/>
      <c r="I90" s="79">
        <f>H71</f>
        <v>2.893104413340838</v>
      </c>
      <c r="J90" s="217" t="s">
        <v>105</v>
      </c>
      <c r="K90" s="218"/>
      <c r="L90" s="79">
        <f>H55</f>
        <v>1.33376</v>
      </c>
    </row>
    <row r="91" spans="7:12" ht="13.5" customHeight="1" outlineLevel="1" thickBot="1">
      <c r="G91" s="214" t="s">
        <v>100</v>
      </c>
      <c r="H91" s="224"/>
      <c r="I91" s="79">
        <f>J72</f>
        <v>0.3</v>
      </c>
      <c r="J91" s="214" t="s">
        <v>106</v>
      </c>
      <c r="K91" s="224"/>
      <c r="L91" s="79">
        <f>E89</f>
        <v>0.19985467635472312</v>
      </c>
    </row>
    <row r="92" spans="7:12" ht="13.5" customHeight="1" outlineLevel="1" thickBot="1">
      <c r="G92" s="212" t="s">
        <v>101</v>
      </c>
      <c r="H92" s="213"/>
      <c r="I92" s="184">
        <f>SUM(I87:I91)</f>
        <v>109.24932212119957</v>
      </c>
      <c r="J92" s="212" t="s">
        <v>101</v>
      </c>
      <c r="K92" s="323"/>
      <c r="L92" s="184">
        <f>SUM(L87:L91)</f>
        <v>109.15908124621149</v>
      </c>
    </row>
    <row r="93" spans="5:12" ht="12.75" customHeight="1" outlineLevel="1">
      <c r="E93" s="125"/>
      <c r="G93" s="211" t="s">
        <v>107</v>
      </c>
      <c r="H93" s="211"/>
      <c r="I93" s="211"/>
      <c r="J93" s="211"/>
      <c r="K93" s="87">
        <f>ABS((L92-I92)/I92*100)</f>
        <v>0.08260085576363718</v>
      </c>
      <c r="L93" s="91" t="s">
        <v>21</v>
      </c>
    </row>
    <row r="94" spans="7:12" ht="12.75" outlineLevel="1">
      <c r="G94" s="102"/>
      <c r="H94" s="102"/>
      <c r="I94" s="102"/>
      <c r="J94" s="102"/>
      <c r="K94" s="87"/>
      <c r="L94" s="91"/>
    </row>
    <row r="95" spans="7:12" ht="12.75" outlineLevel="1">
      <c r="G95" s="102"/>
      <c r="H95" s="102"/>
      <c r="I95" s="102"/>
      <c r="J95" s="102"/>
      <c r="K95" s="87"/>
      <c r="L95" s="91"/>
    </row>
    <row r="96" spans="7:12" ht="12.75" outlineLevel="1">
      <c r="G96" s="102"/>
      <c r="H96" s="102"/>
      <c r="I96" s="102"/>
      <c r="J96" s="102"/>
      <c r="K96" s="75"/>
      <c r="L96" s="91"/>
    </row>
    <row r="97" spans="1:23" s="76" customFormat="1" ht="10.5" customHeight="1" outlineLevel="1">
      <c r="A97" s="115"/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</row>
    <row r="98" s="115" customFormat="1" ht="12" customHeight="1" outlineLevel="1"/>
    <row r="99" ht="13.5" customHeight="1" outlineLevel="1"/>
    <row r="100" spans="3:8" ht="20.25" customHeight="1" outlineLevel="1">
      <c r="C100" s="210" t="s">
        <v>109</v>
      </c>
      <c r="D100" s="210"/>
      <c r="E100" s="210"/>
      <c r="F100" s="210"/>
      <c r="G100" s="210"/>
      <c r="H100" s="210"/>
    </row>
    <row r="101" spans="4:8" ht="14.25" customHeight="1">
      <c r="D101" s="88"/>
      <c r="E101" s="88"/>
      <c r="F101" s="88"/>
      <c r="G101" s="88"/>
      <c r="H101" s="88"/>
    </row>
    <row r="102" spans="3:8" ht="12.75" customHeight="1" thickBot="1">
      <c r="C102" s="224" t="s">
        <v>174</v>
      </c>
      <c r="D102" s="224"/>
      <c r="E102" s="224"/>
      <c r="F102" s="224"/>
      <c r="G102" s="224"/>
      <c r="H102" s="88"/>
    </row>
    <row r="103" spans="3:8" ht="12.75" customHeight="1">
      <c r="C103" s="14" t="s">
        <v>30</v>
      </c>
      <c r="D103" s="4" t="s">
        <v>119</v>
      </c>
      <c r="E103" s="4" t="s">
        <v>79</v>
      </c>
      <c r="F103" s="4" t="s">
        <v>32</v>
      </c>
      <c r="G103" s="5" t="s">
        <v>31</v>
      </c>
      <c r="H103" s="88"/>
    </row>
    <row r="104" spans="3:7" ht="12.75" customHeight="1" thickBot="1">
      <c r="C104" s="15">
        <v>55</v>
      </c>
      <c r="D104" s="80" t="s">
        <v>122</v>
      </c>
      <c r="E104" s="80" t="s">
        <v>123</v>
      </c>
      <c r="F104" s="6" t="s">
        <v>120</v>
      </c>
      <c r="G104" s="7" t="s">
        <v>121</v>
      </c>
    </row>
    <row r="105" ht="14.25" customHeight="1"/>
    <row r="106" spans="1:5" ht="12.75" customHeight="1">
      <c r="A106" s="229" t="s">
        <v>114</v>
      </c>
      <c r="B106" s="229"/>
      <c r="C106" s="229"/>
      <c r="D106" s="229"/>
      <c r="E106" s="1">
        <v>0.6</v>
      </c>
    </row>
    <row r="107" spans="1:5" ht="12.75" customHeight="1">
      <c r="A107" s="229" t="s">
        <v>115</v>
      </c>
      <c r="B107" s="229"/>
      <c r="C107" s="229"/>
      <c r="D107" s="229"/>
      <c r="E107" s="1">
        <v>86.5</v>
      </c>
    </row>
    <row r="108" spans="1:5" ht="12.75" customHeight="1">
      <c r="A108" s="229" t="s">
        <v>124</v>
      </c>
      <c r="B108" s="229"/>
      <c r="C108" s="229"/>
      <c r="D108" s="229"/>
      <c r="E108" s="32">
        <v>40</v>
      </c>
    </row>
    <row r="109" spans="2:9" ht="12.75" customHeight="1">
      <c r="B109" s="229" t="s">
        <v>125</v>
      </c>
      <c r="C109" s="229"/>
      <c r="D109" s="229"/>
      <c r="E109" s="33">
        <f>K7*E108</f>
        <v>0.8</v>
      </c>
      <c r="I109" s="72">
        <f>E86-SUM(G112:G119)</f>
        <v>98.9449821099975</v>
      </c>
    </row>
    <row r="110" spans="2:9" ht="12.75" customHeight="1">
      <c r="B110" s="18"/>
      <c r="C110" s="18"/>
      <c r="D110" s="18"/>
      <c r="E110" s="33"/>
      <c r="I110" s="185">
        <f>SUM(E112:E119)</f>
        <v>0.2787035579268172</v>
      </c>
    </row>
    <row r="111" spans="2:5" ht="12.75" customHeight="1">
      <c r="B111" s="18"/>
      <c r="C111" s="18"/>
      <c r="D111" s="18"/>
      <c r="E111" s="33"/>
    </row>
    <row r="112" spans="2:12" ht="12.75" customHeight="1">
      <c r="B112" s="229" t="s">
        <v>112</v>
      </c>
      <c r="C112" s="229"/>
      <c r="D112" s="229"/>
      <c r="E112" s="77">
        <f>D7/F19</f>
        <v>0.0029411764705882353</v>
      </c>
      <c r="F112" s="1" t="s">
        <v>116</v>
      </c>
      <c r="G112" s="50">
        <f>K40*E86/F19</f>
        <v>0.09698829881920384</v>
      </c>
      <c r="H112" s="1" t="s">
        <v>183</v>
      </c>
      <c r="I112" s="50">
        <f>E112*H122-G112</f>
        <v>0.30647224290792724</v>
      </c>
      <c r="J112" s="1" t="s">
        <v>42</v>
      </c>
      <c r="K112" s="33"/>
      <c r="L112" s="50"/>
    </row>
    <row r="113" spans="2:12" ht="12.75" customHeight="1">
      <c r="B113" s="229" t="s">
        <v>110</v>
      </c>
      <c r="C113" s="229"/>
      <c r="D113" s="229"/>
      <c r="E113" s="77">
        <f>E7/E18</f>
        <v>0.003205128205128205</v>
      </c>
      <c r="F113" s="1" t="s">
        <v>116</v>
      </c>
      <c r="G113" s="50">
        <f>E86/E18*L40</f>
        <v>0</v>
      </c>
      <c r="H113" s="1" t="s">
        <v>183</v>
      </c>
      <c r="I113" s="50">
        <f>E113*H122-G113</f>
        <v>0.4396685390616172</v>
      </c>
      <c r="J113" s="1" t="s">
        <v>42</v>
      </c>
      <c r="K113" s="33"/>
      <c r="L113" s="50"/>
    </row>
    <row r="114" spans="2:14" ht="12.75" customHeight="1">
      <c r="B114" s="229" t="s">
        <v>111</v>
      </c>
      <c r="C114" s="229"/>
      <c r="D114" s="229"/>
      <c r="E114" s="77">
        <f>F7/H24</f>
        <v>0.08416666666666667</v>
      </c>
      <c r="F114" s="1" t="s">
        <v>116</v>
      </c>
      <c r="G114" s="50">
        <f>E86*0/H24</f>
        <v>0</v>
      </c>
      <c r="H114" s="1" t="s">
        <v>183</v>
      </c>
      <c r="I114" s="50">
        <f>H122*E114-G114</f>
        <v>11.545695835758067</v>
      </c>
      <c r="J114" s="1" t="s">
        <v>42</v>
      </c>
      <c r="K114" s="33"/>
      <c r="L114" s="50"/>
      <c r="M114" s="50"/>
      <c r="N114" s="1"/>
    </row>
    <row r="115" spans="2:14" ht="12.75" customHeight="1">
      <c r="B115" s="229" t="s">
        <v>196</v>
      </c>
      <c r="C115" s="229"/>
      <c r="D115" s="229"/>
      <c r="E115" s="77">
        <f>H7/G22</f>
        <v>0.06029411764705882</v>
      </c>
      <c r="F115" s="1" t="s">
        <v>116</v>
      </c>
      <c r="G115" s="50">
        <f>E86*0/G22</f>
        <v>0</v>
      </c>
      <c r="H115" s="1" t="s">
        <v>183</v>
      </c>
      <c r="I115" s="50">
        <f>H122*E115-G115</f>
        <v>8.270941105406186</v>
      </c>
      <c r="J115" s="1" t="s">
        <v>42</v>
      </c>
      <c r="K115" s="33"/>
      <c r="L115" s="50"/>
      <c r="M115" s="50"/>
      <c r="N115" s="1"/>
    </row>
    <row r="116" spans="2:14" ht="12.75" customHeight="1">
      <c r="B116" s="229" t="s">
        <v>197</v>
      </c>
      <c r="C116" s="229"/>
      <c r="D116" s="229"/>
      <c r="E116" s="77">
        <f>G7/I21</f>
        <v>0.02375</v>
      </c>
      <c r="F116" s="1" t="s">
        <v>116</v>
      </c>
      <c r="G116" s="50">
        <f>E86*0/I21</f>
        <v>0</v>
      </c>
      <c r="H116" s="1" t="s">
        <v>183</v>
      </c>
      <c r="I116" s="50">
        <f>H122*E116-G116</f>
        <v>3.2579438744465836</v>
      </c>
      <c r="J116" s="1" t="s">
        <v>42</v>
      </c>
      <c r="K116" s="33"/>
      <c r="L116" s="50"/>
      <c r="M116" s="50"/>
      <c r="N116" s="1"/>
    </row>
    <row r="117" spans="2:14" ht="12.75" customHeight="1">
      <c r="B117" s="229" t="s">
        <v>198</v>
      </c>
      <c r="C117" s="229"/>
      <c r="D117" s="229"/>
      <c r="E117" s="77">
        <f>I7/J20</f>
        <v>0.08571428571428572</v>
      </c>
      <c r="F117" s="1" t="s">
        <v>116</v>
      </c>
      <c r="G117" s="50">
        <f>E86*0/J20</f>
        <v>0</v>
      </c>
      <c r="H117" s="1" t="s">
        <v>183</v>
      </c>
      <c r="I117" s="50">
        <f>H122*E117-G117</f>
        <v>11.757992930333534</v>
      </c>
      <c r="J117" s="1" t="s">
        <v>42</v>
      </c>
      <c r="K117" s="33"/>
      <c r="L117" s="50"/>
      <c r="M117" s="50"/>
      <c r="N117" s="1"/>
    </row>
    <row r="118" spans="2:14" ht="12.75" customHeight="1">
      <c r="B118" s="229" t="s">
        <v>215</v>
      </c>
      <c r="C118" s="229"/>
      <c r="D118" s="229"/>
      <c r="E118" s="77">
        <f>J7/K23</f>
        <v>0.002061855670103093</v>
      </c>
      <c r="F118" s="1" t="s">
        <v>116</v>
      </c>
      <c r="G118" s="50">
        <v>0</v>
      </c>
      <c r="H118" s="1" t="s">
        <v>183</v>
      </c>
      <c r="I118" s="50">
        <f>H122*E118-G118</f>
        <v>0.28283831791180325</v>
      </c>
      <c r="J118" s="1" t="s">
        <v>42</v>
      </c>
      <c r="K118" s="33"/>
      <c r="L118" s="50"/>
      <c r="M118" s="50"/>
      <c r="N118" s="1"/>
    </row>
    <row r="119" spans="2:14" ht="12.75" customHeight="1">
      <c r="B119" s="229" t="s">
        <v>113</v>
      </c>
      <c r="C119" s="229"/>
      <c r="D119" s="229"/>
      <c r="E119" s="77">
        <f>C7/E107/E106</f>
        <v>0.016570327552986513</v>
      </c>
      <c r="F119" s="1" t="s">
        <v>116</v>
      </c>
      <c r="G119" s="50">
        <f>E86*J40/E106/E107</f>
        <v>0.8853677685448541</v>
      </c>
      <c r="H119" s="1" t="s">
        <v>183</v>
      </c>
      <c r="I119" s="50">
        <f>E119*H122-G119</f>
        <v>1.3876931640372874</v>
      </c>
      <c r="J119" s="1" t="s">
        <v>42</v>
      </c>
      <c r="L119" s="1"/>
      <c r="M119" s="50"/>
      <c r="N119" s="1"/>
    </row>
    <row r="120" spans="2:14" ht="12.75" customHeight="1">
      <c r="B120" s="221" t="s">
        <v>118</v>
      </c>
      <c r="C120" s="221"/>
      <c r="D120" s="221"/>
      <c r="E120" s="221"/>
      <c r="F120" s="221"/>
      <c r="G120" s="221"/>
      <c r="H120" s="221"/>
      <c r="I120" s="75">
        <f>SUM(I112:I119)</f>
        <v>37.24924600986301</v>
      </c>
      <c r="J120" s="1" t="s">
        <v>42</v>
      </c>
      <c r="K120" s="50"/>
      <c r="L120" s="167"/>
      <c r="M120" s="77"/>
      <c r="N120" s="1"/>
    </row>
    <row r="121" spans="2:14" ht="12.75" customHeight="1">
      <c r="B121" s="1"/>
      <c r="C121" s="1"/>
      <c r="D121" s="1"/>
      <c r="E121" s="1"/>
      <c r="F121" s="1"/>
      <c r="G121" s="1"/>
      <c r="H121" s="1"/>
      <c r="I121" s="75"/>
      <c r="J121" s="1"/>
      <c r="K121" s="50"/>
      <c r="L121" s="1"/>
      <c r="M121" s="50"/>
      <c r="N121" s="1"/>
    </row>
    <row r="122" spans="2:14" ht="12.75" customHeight="1">
      <c r="B122" s="1"/>
      <c r="C122" s="221" t="s">
        <v>117</v>
      </c>
      <c r="D122" s="221"/>
      <c r="E122" s="221"/>
      <c r="F122" s="221"/>
      <c r="G122" s="221"/>
      <c r="H122" s="33">
        <f>(E86-G112-G113-G114-G119-G115-G116-G117-G118)/(1-E112-E113-E115-E116-E117-E118-E114-E119)</f>
        <v>137.17658418722456</v>
      </c>
      <c r="I122" s="75"/>
      <c r="J122" s="1"/>
      <c r="K122" s="50"/>
      <c r="L122" s="1"/>
      <c r="M122" s="50"/>
      <c r="N122" s="1"/>
    </row>
    <row r="123" spans="2:14" ht="12.75" customHeight="1">
      <c r="B123" s="18"/>
      <c r="C123" s="18"/>
      <c r="D123" s="18"/>
      <c r="E123" s="33"/>
      <c r="F123" s="18"/>
      <c r="G123" s="1"/>
      <c r="H123" s="18"/>
      <c r="I123" s="77"/>
      <c r="J123" s="1"/>
      <c r="K123" s="50"/>
      <c r="L123" s="1"/>
      <c r="M123" s="50"/>
      <c r="N123" s="1"/>
    </row>
    <row r="124" spans="2:14" ht="12.75" customHeight="1">
      <c r="B124" s="229" t="s">
        <v>112</v>
      </c>
      <c r="C124" s="229"/>
      <c r="D124" s="229"/>
      <c r="E124" s="77">
        <f>D7/F19-G124</f>
        <v>0.0026277310924369746</v>
      </c>
      <c r="F124" s="1" t="s">
        <v>116</v>
      </c>
      <c r="G124" s="78">
        <f>(I113*F18+I114*F24+I115*F22+I116*F21+I117*F20+I118*F23)/H122/F19</f>
        <v>0.00031344537815126055</v>
      </c>
      <c r="H124" s="1" t="s">
        <v>116</v>
      </c>
      <c r="I124" s="50">
        <f>K40*L87/F19</f>
        <v>0.09679432222156543</v>
      </c>
      <c r="J124" s="1" t="s">
        <v>183</v>
      </c>
      <c r="K124" s="50">
        <f>E124*H134-I124-G124</f>
        <v>0.2564744340857181</v>
      </c>
      <c r="L124" s="1" t="s">
        <v>42</v>
      </c>
      <c r="M124" s="50"/>
      <c r="N124" s="1"/>
    </row>
    <row r="125" spans="2:14" ht="12.75" customHeight="1">
      <c r="B125" s="229" t="s">
        <v>110</v>
      </c>
      <c r="C125" s="229"/>
      <c r="D125" s="229"/>
      <c r="E125" s="77">
        <f>E7/E18-G125</f>
        <v>0.0002296553227820481</v>
      </c>
      <c r="F125" s="1" t="s">
        <v>116</v>
      </c>
      <c r="G125" s="78">
        <f>(I112*E19+I114*E24+I115*E22+I116*E21+I117*E20+I118*E23)/H122/E18</f>
        <v>0.002975472882346157</v>
      </c>
      <c r="H125" s="1" t="s">
        <v>116</v>
      </c>
      <c r="I125" s="50">
        <v>0</v>
      </c>
      <c r="J125" s="1" t="s">
        <v>183</v>
      </c>
      <c r="K125" s="50">
        <f>E125*H134-I125</f>
        <v>0.030901957544958857</v>
      </c>
      <c r="L125" s="1" t="s">
        <v>42</v>
      </c>
      <c r="M125" s="50"/>
      <c r="N125" s="1"/>
    </row>
    <row r="126" spans="2:14" ht="12.75" customHeight="1">
      <c r="B126" s="229" t="s">
        <v>111</v>
      </c>
      <c r="C126" s="229"/>
      <c r="D126" s="229"/>
      <c r="E126" s="77">
        <f>F7/H24-G126</f>
        <v>0.0755952380952381</v>
      </c>
      <c r="F126" s="1" t="s">
        <v>116</v>
      </c>
      <c r="G126" s="78">
        <f>(I112*H19+H18*I113+I115*H22+H21*I116+I117*H20+H23*I118)/H122/H24</f>
        <v>0.00857142857142857</v>
      </c>
      <c r="H126" s="1" t="s">
        <v>116</v>
      </c>
      <c r="I126" s="50">
        <v>0</v>
      </c>
      <c r="J126" s="1" t="s">
        <v>183</v>
      </c>
      <c r="K126" s="50">
        <f>H134*E126-I126-G126</f>
        <v>10.163371507134435</v>
      </c>
      <c r="L126" s="1" t="s">
        <v>42</v>
      </c>
      <c r="M126" s="50"/>
      <c r="N126" s="1"/>
    </row>
    <row r="127" spans="2:14" ht="12.75" customHeight="1">
      <c r="B127" s="229" t="s">
        <v>196</v>
      </c>
      <c r="C127" s="229"/>
      <c r="D127" s="229"/>
      <c r="E127" s="77">
        <f>H7/G22-G127</f>
        <v>0.060279977375565605</v>
      </c>
      <c r="F127" s="1" t="s">
        <v>116</v>
      </c>
      <c r="G127" s="78">
        <f>(I112*G19+G18*I113+I114*G24+G23*I118+I117*G20+G21*I116)/H122/G22</f>
        <v>1.414027149321267E-05</v>
      </c>
      <c r="H127" s="1" t="s">
        <v>116</v>
      </c>
      <c r="I127" s="50">
        <v>0</v>
      </c>
      <c r="J127" s="1" t="s">
        <v>183</v>
      </c>
      <c r="K127" s="50">
        <f>H134*E127-I127-G127</f>
        <v>8.11113816878537</v>
      </c>
      <c r="L127" s="1" t="s">
        <v>42</v>
      </c>
      <c r="M127" s="50"/>
      <c r="N127" s="1"/>
    </row>
    <row r="128" spans="2:14" ht="12.75" customHeight="1">
      <c r="B128" s="229" t="s">
        <v>197</v>
      </c>
      <c r="C128" s="229"/>
      <c r="D128" s="229"/>
      <c r="E128" s="77">
        <f>G7/I21-G128</f>
        <v>0.02375</v>
      </c>
      <c r="F128" s="1" t="s">
        <v>116</v>
      </c>
      <c r="G128" s="78">
        <f>(I112*I19+I18*I113+I114*I24+I23*I118+I117*I20+I22*I115)/H122/I21</f>
        <v>0</v>
      </c>
      <c r="H128" s="1" t="s">
        <v>116</v>
      </c>
      <c r="I128" s="50">
        <v>0</v>
      </c>
      <c r="J128" s="1" t="s">
        <v>183</v>
      </c>
      <c r="K128" s="50">
        <f>H134*E128-I128-G128</f>
        <v>3.195752150666645</v>
      </c>
      <c r="L128" s="1" t="s">
        <v>42</v>
      </c>
      <c r="M128" s="50"/>
      <c r="N128" s="1"/>
    </row>
    <row r="129" spans="2:14" ht="12.75" customHeight="1">
      <c r="B129" s="229" t="s">
        <v>198</v>
      </c>
      <c r="C129" s="229"/>
      <c r="D129" s="229"/>
      <c r="E129" s="77">
        <f>I7/J20-G129</f>
        <v>0.08535357142857143</v>
      </c>
      <c r="F129" s="1" t="s">
        <v>116</v>
      </c>
      <c r="G129" s="78">
        <f>(I112*J19+J18*I113+I114*J24+J23*I118+I116*J21+J22*I115)/H122/J20</f>
        <v>0.0003607142857142857</v>
      </c>
      <c r="H129" s="1" t="s">
        <v>116</v>
      </c>
      <c r="I129" s="50">
        <v>0</v>
      </c>
      <c r="J129" s="1" t="s">
        <v>183</v>
      </c>
      <c r="K129" s="50">
        <f>H134*E129-I129-G129</f>
        <v>11.484643894553708</v>
      </c>
      <c r="L129" s="1" t="s">
        <v>42</v>
      </c>
      <c r="M129" s="50"/>
      <c r="N129" s="1"/>
    </row>
    <row r="130" spans="2:14" ht="12.75" customHeight="1">
      <c r="B130" s="229" t="s">
        <v>215</v>
      </c>
      <c r="C130" s="229"/>
      <c r="D130" s="229"/>
      <c r="E130" s="77">
        <f>J7/K23-G130</f>
        <v>0.002061855670103093</v>
      </c>
      <c r="F130" s="1" t="s">
        <v>116</v>
      </c>
      <c r="G130" s="78">
        <f>(I112*K19+K18*I113+I114*K24+K22*I115+K21*I116+K20*I117)/H122/K23</f>
        <v>0</v>
      </c>
      <c r="H130" s="1" t="s">
        <v>116</v>
      </c>
      <c r="I130" s="50">
        <v>0</v>
      </c>
      <c r="J130" s="1" t="s">
        <v>183</v>
      </c>
      <c r="K130" s="50">
        <f>H134*E130-I130-G130</f>
        <v>0.2774391449303653</v>
      </c>
      <c r="L130" s="1" t="s">
        <v>42</v>
      </c>
      <c r="M130" s="50"/>
      <c r="N130" s="1"/>
    </row>
    <row r="131" spans="2:14" ht="12.75" customHeight="1">
      <c r="B131" s="229" t="s">
        <v>113</v>
      </c>
      <c r="C131" s="229"/>
      <c r="D131" s="229"/>
      <c r="E131" s="77">
        <f>C7/E107/E106-G131</f>
        <v>0.01623922825754863</v>
      </c>
      <c r="F131" s="1" t="s">
        <v>116</v>
      </c>
      <c r="G131" s="77">
        <f>(I112*D19+I113*D18+I114*D24+I115*D22+I116*D21+I117*D20+I118*D23)/H122/E107/E106</f>
        <v>0.00033109929543788326</v>
      </c>
      <c r="H131" s="1" t="s">
        <v>116</v>
      </c>
      <c r="I131" s="50">
        <f>L87*J40/E106/E107</f>
        <v>0.8835970330077645</v>
      </c>
      <c r="J131" s="1" t="s">
        <v>183</v>
      </c>
      <c r="K131" s="50">
        <f>E131*H134-I131-G131</f>
        <v>1.3011897047169068</v>
      </c>
      <c r="L131" s="1" t="s">
        <v>42</v>
      </c>
      <c r="M131" s="50"/>
      <c r="N131" s="1"/>
    </row>
    <row r="132" spans="2:14" ht="12.75" customHeight="1">
      <c r="B132" s="221" t="s">
        <v>118</v>
      </c>
      <c r="C132" s="221"/>
      <c r="D132" s="221"/>
      <c r="E132" s="221"/>
      <c r="F132" s="221"/>
      <c r="G132" s="221"/>
      <c r="H132" s="221"/>
      <c r="I132" s="75">
        <f>SUM(K124:K131)</f>
        <v>34.820910962418104</v>
      </c>
      <c r="J132" s="1" t="s">
        <v>42</v>
      </c>
      <c r="K132" s="50"/>
      <c r="L132" s="1"/>
      <c r="M132" s="50"/>
      <c r="N132" s="1"/>
    </row>
    <row r="133" spans="2:14" ht="12.75" customHeight="1">
      <c r="B133" s="18"/>
      <c r="C133" s="18"/>
      <c r="D133" s="18"/>
      <c r="E133" s="33"/>
      <c r="F133" s="18"/>
      <c r="G133" s="18"/>
      <c r="H133" s="18"/>
      <c r="I133" s="77"/>
      <c r="J133" s="1"/>
      <c r="K133" s="50"/>
      <c r="L133" s="1"/>
      <c r="M133" s="50"/>
      <c r="N133" s="1"/>
    </row>
    <row r="134" spans="1:8" ht="12.75" customHeight="1">
      <c r="A134" s="18"/>
      <c r="B134" s="221" t="s">
        <v>117</v>
      </c>
      <c r="C134" s="221"/>
      <c r="D134" s="221"/>
      <c r="E134" s="221"/>
      <c r="F134" s="221"/>
      <c r="G134" s="221"/>
      <c r="H134" s="33">
        <f>(L87-I124-I125-I126-I131-I127-I128-I129-I130)/(1-E124-E125-E127-E128-E129-E130-E126-E131)</f>
        <v>134.55798529122717</v>
      </c>
    </row>
    <row r="135" spans="1:5" ht="12.75" customHeight="1">
      <c r="A135" s="18"/>
      <c r="B135" s="18"/>
      <c r="C135" s="18"/>
      <c r="D135" s="18"/>
      <c r="E135" s="33"/>
    </row>
    <row r="138" ht="13.5" thickBot="1">
      <c r="L138" s="68"/>
    </row>
    <row r="139" spans="2:9" ht="13.5" thickBot="1">
      <c r="B139" s="229" t="s">
        <v>127</v>
      </c>
      <c r="C139" s="229"/>
      <c r="D139" s="229"/>
      <c r="E139" s="78">
        <f>K125*M18/100</f>
        <v>6.180391508991772E-06</v>
      </c>
      <c r="G139" s="299" t="s">
        <v>135</v>
      </c>
      <c r="H139" s="300"/>
      <c r="I139" s="301"/>
    </row>
    <row r="140" spans="2:9" ht="12.75">
      <c r="B140" s="229" t="s">
        <v>128</v>
      </c>
      <c r="C140" s="229"/>
      <c r="D140" s="229"/>
      <c r="E140" s="78">
        <f>K124*M19/100</f>
        <v>7.694233022571542E-05</v>
      </c>
      <c r="G140" s="241" t="s">
        <v>74</v>
      </c>
      <c r="H140" s="242"/>
      <c r="I140" s="155">
        <v>60</v>
      </c>
    </row>
    <row r="141" spans="2:9" ht="12.75">
      <c r="B141" s="229" t="s">
        <v>129</v>
      </c>
      <c r="C141" s="229"/>
      <c r="D141" s="229"/>
      <c r="E141" s="77">
        <f>K126*M24/100</f>
        <v>0.010163371507134436</v>
      </c>
      <c r="G141" s="241" t="s">
        <v>136</v>
      </c>
      <c r="H141" s="242"/>
      <c r="I141" s="111">
        <v>15</v>
      </c>
    </row>
    <row r="142" spans="2:9" ht="12.75">
      <c r="B142" s="229" t="s">
        <v>207</v>
      </c>
      <c r="C142" s="229"/>
      <c r="D142" s="229"/>
      <c r="E142" s="50">
        <f>K127*M22/100</f>
        <v>0.0016222276337570741</v>
      </c>
      <c r="G142" s="241" t="s">
        <v>137</v>
      </c>
      <c r="H142" s="242"/>
      <c r="I142" s="111">
        <v>25</v>
      </c>
    </row>
    <row r="143" spans="2:9" ht="13.5" thickBot="1">
      <c r="B143" s="229" t="s">
        <v>208</v>
      </c>
      <c r="C143" s="229"/>
      <c r="D143" s="229"/>
      <c r="E143" s="50">
        <f>K128*M21/100</f>
        <v>0.0031957521506666454</v>
      </c>
      <c r="G143" s="214" t="s">
        <v>131</v>
      </c>
      <c r="H143" s="224"/>
      <c r="I143" s="156">
        <v>2</v>
      </c>
    </row>
    <row r="144" spans="2:9" ht="12.75">
      <c r="B144" s="229" t="s">
        <v>209</v>
      </c>
      <c r="C144" s="229"/>
      <c r="D144" s="229"/>
      <c r="E144" s="50">
        <f>K129*M20/100</f>
        <v>0.0022969287789107416</v>
      </c>
      <c r="G144" s="110"/>
      <c r="H144" s="110"/>
      <c r="I144" s="153"/>
    </row>
    <row r="145" spans="2:9" ht="12.75">
      <c r="B145" s="229" t="s">
        <v>216</v>
      </c>
      <c r="C145" s="229"/>
      <c r="D145" s="229"/>
      <c r="E145" s="50">
        <f>K130*M23/100</f>
        <v>0</v>
      </c>
      <c r="G145" s="110"/>
      <c r="H145" s="110"/>
      <c r="I145" s="153"/>
    </row>
    <row r="146" spans="2:5" ht="12.75">
      <c r="B146" s="229" t="s">
        <v>130</v>
      </c>
      <c r="C146" s="229"/>
      <c r="D146" s="229"/>
      <c r="E146" s="50">
        <f>K131*I143/100</f>
        <v>0.026023794094338134</v>
      </c>
    </row>
    <row r="147" spans="2:5" ht="12.75">
      <c r="B147" s="229" t="s">
        <v>101</v>
      </c>
      <c r="C147" s="229"/>
      <c r="D147" s="229"/>
      <c r="E147" s="77">
        <f>SUM(E139:E146)</f>
        <v>0.04338519688654174</v>
      </c>
    </row>
    <row r="148" spans="1:5" ht="12.75">
      <c r="A148" s="229" t="s">
        <v>126</v>
      </c>
      <c r="B148" s="229"/>
      <c r="C148" s="229"/>
      <c r="D148" s="229"/>
      <c r="E148" s="101">
        <f>L87/100*M40+E147-H134/100*K7</f>
        <v>0.04359947534057017</v>
      </c>
    </row>
    <row r="149" spans="1:10" ht="12.75">
      <c r="A149" s="229" t="s">
        <v>132</v>
      </c>
      <c r="B149" s="229"/>
      <c r="C149" s="229"/>
      <c r="D149" s="229"/>
      <c r="E149" s="50">
        <f>E148*100/E109</f>
        <v>5.44993441757127</v>
      </c>
      <c r="G149" s="229" t="s">
        <v>138</v>
      </c>
      <c r="H149" s="229"/>
      <c r="I149" s="229"/>
      <c r="J149" s="50">
        <f>I141*E150/I140</f>
        <v>0.8145282417565756</v>
      </c>
    </row>
    <row r="150" spans="1:10" ht="14.25" customHeight="1">
      <c r="A150" s="229" t="s">
        <v>133</v>
      </c>
      <c r="B150" s="229"/>
      <c r="C150" s="229"/>
      <c r="D150" s="229"/>
      <c r="E150" s="50">
        <f>(C104*E149)/H70</f>
        <v>3.2581129670263023</v>
      </c>
      <c r="G150" s="229" t="s">
        <v>139</v>
      </c>
      <c r="H150" s="229"/>
      <c r="I150" s="229"/>
      <c r="J150" s="50">
        <f>I142*E150/I140</f>
        <v>1.3575470695942926</v>
      </c>
    </row>
    <row r="152" spans="2:13" ht="13.5" outlineLevel="1" thickBot="1">
      <c r="B152" s="224" t="s">
        <v>143</v>
      </c>
      <c r="C152" s="224"/>
      <c r="D152" s="224"/>
      <c r="E152" s="224"/>
      <c r="F152" s="224"/>
      <c r="G152" s="224"/>
      <c r="H152" s="224"/>
      <c r="I152" s="224"/>
      <c r="J152" s="224"/>
      <c r="K152" s="224"/>
      <c r="L152" s="224"/>
      <c r="M152" s="224"/>
    </row>
    <row r="153" spans="2:16" ht="12.75" outlineLevel="1">
      <c r="B153" s="206" t="s">
        <v>71</v>
      </c>
      <c r="C153" s="243" t="s">
        <v>77</v>
      </c>
      <c r="D153" s="201" t="s">
        <v>78</v>
      </c>
      <c r="E153" s="202"/>
      <c r="F153" s="202"/>
      <c r="G153" s="202"/>
      <c r="H153" s="202"/>
      <c r="I153" s="202"/>
      <c r="J153" s="202"/>
      <c r="K153" s="202"/>
      <c r="L153" s="202"/>
      <c r="M153" s="202"/>
      <c r="N153" s="202"/>
      <c r="O153" s="202"/>
      <c r="P153" s="203"/>
    </row>
    <row r="154" spans="2:16" ht="12.75" outlineLevel="1">
      <c r="B154" s="246"/>
      <c r="C154" s="244"/>
      <c r="D154" s="240" t="s">
        <v>30</v>
      </c>
      <c r="E154" s="238"/>
      <c r="F154" s="238" t="s">
        <v>32</v>
      </c>
      <c r="G154" s="238"/>
      <c r="H154" s="238" t="s">
        <v>7</v>
      </c>
      <c r="I154" s="238"/>
      <c r="J154" s="238" t="s">
        <v>79</v>
      </c>
      <c r="K154" s="238"/>
      <c r="L154" s="238" t="s">
        <v>119</v>
      </c>
      <c r="M154" s="238"/>
      <c r="N154" s="238" t="s">
        <v>81</v>
      </c>
      <c r="O154" s="238"/>
      <c r="P154" s="64" t="s">
        <v>76</v>
      </c>
    </row>
    <row r="155" spans="2:16" ht="13.5" outlineLevel="1" thickBot="1">
      <c r="B155" s="207"/>
      <c r="C155" s="245"/>
      <c r="D155" s="15" t="s">
        <v>21</v>
      </c>
      <c r="E155" s="6" t="s">
        <v>42</v>
      </c>
      <c r="F155" s="6" t="s">
        <v>21</v>
      </c>
      <c r="G155" s="6" t="s">
        <v>42</v>
      </c>
      <c r="H155" s="6" t="s">
        <v>21</v>
      </c>
      <c r="I155" s="6" t="s">
        <v>42</v>
      </c>
      <c r="J155" s="6" t="s">
        <v>21</v>
      </c>
      <c r="K155" s="6" t="s">
        <v>42</v>
      </c>
      <c r="L155" s="6" t="s">
        <v>21</v>
      </c>
      <c r="M155" s="6" t="s">
        <v>42</v>
      </c>
      <c r="N155" s="6" t="s">
        <v>21</v>
      </c>
      <c r="O155" s="6" t="s">
        <v>42</v>
      </c>
      <c r="P155" s="7" t="s">
        <v>42</v>
      </c>
    </row>
    <row r="156" spans="2:16" ht="12.75" outlineLevel="1">
      <c r="B156" s="60" t="s">
        <v>74</v>
      </c>
      <c r="C156" s="106">
        <f>E150</f>
        <v>3.2581129670263023</v>
      </c>
      <c r="D156" s="84">
        <f>H70</f>
        <v>92</v>
      </c>
      <c r="E156" s="106">
        <f>D156*C156/100</f>
        <v>2.9974639296641983</v>
      </c>
      <c r="F156" s="195">
        <v>2.5</v>
      </c>
      <c r="G156" s="106">
        <f>F156*C156/100</f>
        <v>0.08145282417565756</v>
      </c>
      <c r="H156" s="195">
        <v>0.1</v>
      </c>
      <c r="I156" s="106">
        <f>H156*C156/100</f>
        <v>0.0032581129670263024</v>
      </c>
      <c r="J156" s="195">
        <v>1</v>
      </c>
      <c r="K156" s="106">
        <f>J156*C156/100</f>
        <v>0.032581129670263026</v>
      </c>
      <c r="L156" s="82"/>
      <c r="M156" s="34"/>
      <c r="N156" s="82">
        <v>3.3</v>
      </c>
      <c r="O156" s="106">
        <f>N156*C156/100</f>
        <v>0.10751772791186796</v>
      </c>
      <c r="P156" s="186">
        <f>E156+G156+I156+K156+M156+O156</f>
        <v>3.2222737243890127</v>
      </c>
    </row>
    <row r="157" spans="2:16" ht="12.75" outlineLevel="1">
      <c r="B157" s="36" t="s">
        <v>136</v>
      </c>
      <c r="C157" s="106">
        <f>J149</f>
        <v>0.8145282417565756</v>
      </c>
      <c r="D157" s="74">
        <v>0.4</v>
      </c>
      <c r="E157" s="106">
        <f>D157*C157/100</f>
        <v>0.0032581129670263024</v>
      </c>
      <c r="F157" s="193">
        <v>3.1</v>
      </c>
      <c r="G157" s="106">
        <f>F157*C157/100</f>
        <v>0.025250375494453844</v>
      </c>
      <c r="H157" s="193">
        <v>0.2</v>
      </c>
      <c r="I157" s="106">
        <f>H157*C157/100</f>
        <v>0.0016290564835131512</v>
      </c>
      <c r="J157" s="193">
        <v>0.2</v>
      </c>
      <c r="K157" s="106">
        <f>J157*C157/100</f>
        <v>0.0016290564835131512</v>
      </c>
      <c r="L157" s="194">
        <v>95</v>
      </c>
      <c r="M157" s="106">
        <f>L157*C158/100</f>
        <v>0.28500000000000003</v>
      </c>
      <c r="N157" s="83"/>
      <c r="O157" s="106"/>
      <c r="P157" s="187">
        <f aca="true" t="shared" si="2" ref="P157:P162">E157+G157+I157+K157+M157+O157</f>
        <v>0.3167666014285065</v>
      </c>
    </row>
    <row r="158" spans="2:16" ht="12.75" outlineLevel="1">
      <c r="B158" s="36" t="s">
        <v>75</v>
      </c>
      <c r="C158" s="106">
        <f>H73</f>
        <v>0.30000000000000004</v>
      </c>
      <c r="D158" s="74">
        <v>3.5</v>
      </c>
      <c r="E158" s="106">
        <f>D158*C158/100</f>
        <v>0.010500000000000002</v>
      </c>
      <c r="F158" s="193">
        <v>3.45</v>
      </c>
      <c r="G158" s="106">
        <f>F158*C158/100</f>
        <v>0.010350000000000002</v>
      </c>
      <c r="H158" s="193"/>
      <c r="I158" s="34"/>
      <c r="J158" s="193">
        <v>0.1</v>
      </c>
      <c r="K158" s="106">
        <f>J158*C158/100</f>
        <v>0.0003000000000000001</v>
      </c>
      <c r="L158" s="83"/>
      <c r="M158" s="34"/>
      <c r="N158" s="83">
        <v>90.25</v>
      </c>
      <c r="O158" s="106">
        <f>N158*C158/100</f>
        <v>0.27075000000000005</v>
      </c>
      <c r="P158" s="187">
        <f t="shared" si="2"/>
        <v>0.29190000000000005</v>
      </c>
    </row>
    <row r="159" spans="2:16" ht="12.75" outlineLevel="1">
      <c r="B159" s="36" t="s">
        <v>137</v>
      </c>
      <c r="C159" s="106">
        <f>J150</f>
        <v>1.3575470695942926</v>
      </c>
      <c r="D159" s="74">
        <v>0.7</v>
      </c>
      <c r="E159" s="106">
        <f>D159*C159/100</f>
        <v>0.009502829487160048</v>
      </c>
      <c r="F159" s="193">
        <v>62</v>
      </c>
      <c r="G159" s="106">
        <f>F159*C159/100</f>
        <v>0.8416791831484615</v>
      </c>
      <c r="H159" s="193"/>
      <c r="I159" s="34"/>
      <c r="J159" s="193">
        <v>35</v>
      </c>
      <c r="K159" s="106">
        <f>J159*C159/100</f>
        <v>0.4751414743580024</v>
      </c>
      <c r="L159" s="83"/>
      <c r="M159" s="34"/>
      <c r="N159" s="83">
        <v>0.3</v>
      </c>
      <c r="O159" s="106">
        <f>N159*C159/100</f>
        <v>0.004072641208782878</v>
      </c>
      <c r="P159" s="187">
        <f t="shared" si="2"/>
        <v>1.3303961282024068</v>
      </c>
    </row>
    <row r="160" spans="2:16" ht="12.75" outlineLevel="1">
      <c r="B160" s="36" t="s">
        <v>140</v>
      </c>
      <c r="C160" s="106">
        <f>L87</f>
        <v>99.72748350100683</v>
      </c>
      <c r="D160" s="74"/>
      <c r="E160" s="106"/>
      <c r="F160" s="83"/>
      <c r="G160" s="106"/>
      <c r="H160" s="193">
        <f>I160/C160*100</f>
        <v>0.02727432704117656</v>
      </c>
      <c r="I160" s="106">
        <f>M40</f>
        <v>0.027200000000000002</v>
      </c>
      <c r="J160" s="193"/>
      <c r="K160" s="71"/>
      <c r="L160" s="83"/>
      <c r="M160" s="34"/>
      <c r="N160" s="83"/>
      <c r="O160" s="106"/>
      <c r="P160" s="187">
        <f t="shared" si="2"/>
        <v>0.027200000000000002</v>
      </c>
    </row>
    <row r="161" spans="2:16" ht="12.75" outlineLevel="1">
      <c r="B161" s="36" t="s">
        <v>141</v>
      </c>
      <c r="C161" s="106">
        <f>R83*0.1</f>
        <v>0.5897983068849942</v>
      </c>
      <c r="D161" s="190">
        <f>D83</f>
        <v>45.62957678889903</v>
      </c>
      <c r="E161" s="106">
        <f>D161*C161/100</f>
        <v>0.2691224713397148</v>
      </c>
      <c r="F161" s="193">
        <f>H83</f>
        <v>20.650806357830994</v>
      </c>
      <c r="G161" s="106">
        <f>F161*C161/100</f>
        <v>0.12179810625658595</v>
      </c>
      <c r="H161" s="193"/>
      <c r="I161" s="71"/>
      <c r="J161" s="193">
        <f>J83</f>
        <v>3.0626823563449017</v>
      </c>
      <c r="K161" s="106">
        <f>J161*C161/100</f>
        <v>0.018063648682987675</v>
      </c>
      <c r="L161" s="61"/>
      <c r="M161" s="71"/>
      <c r="N161" s="61">
        <f>N83</f>
        <v>6.517331336435609</v>
      </c>
      <c r="O161" s="106">
        <f>N161*C161/100</f>
        <v>0.03843910987638239</v>
      </c>
      <c r="P161" s="187">
        <f t="shared" si="2"/>
        <v>0.44742333615567076</v>
      </c>
    </row>
    <row r="162" spans="2:16" ht="12.75" outlineLevel="1">
      <c r="B162" s="36" t="s">
        <v>142</v>
      </c>
      <c r="C162" s="106">
        <f>I132</f>
        <v>34.820910962418104</v>
      </c>
      <c r="D162" s="74"/>
      <c r="E162" s="106"/>
      <c r="F162" s="61"/>
      <c r="G162" s="106"/>
      <c r="H162" s="193">
        <f>I162/C162*100</f>
        <v>0.12459523799755552</v>
      </c>
      <c r="I162" s="106">
        <f>E147</f>
        <v>0.04338519688654174</v>
      </c>
      <c r="J162" s="193"/>
      <c r="K162" s="71"/>
      <c r="L162" s="61"/>
      <c r="M162" s="71"/>
      <c r="N162" s="61"/>
      <c r="O162" s="106"/>
      <c r="P162" s="187">
        <f t="shared" si="2"/>
        <v>0.04338519688654174</v>
      </c>
    </row>
    <row r="163" spans="2:16" ht="13.5" outlineLevel="1" thickBot="1">
      <c r="B163" s="81" t="s">
        <v>76</v>
      </c>
      <c r="C163" s="56"/>
      <c r="D163" s="191">
        <f>E163*100/P163</f>
        <v>57.92652763571421</v>
      </c>
      <c r="E163" s="189">
        <f>SUM(E156:E162)</f>
        <v>3.2898473434580993</v>
      </c>
      <c r="F163" s="192">
        <f>G163*100/P163</f>
        <v>19.025618122101527</v>
      </c>
      <c r="G163" s="189">
        <f>SUM(G156:G162)</f>
        <v>1.0805304890751588</v>
      </c>
      <c r="H163" s="192">
        <f>I163*100/P163</f>
        <v>1.3288920907078439</v>
      </c>
      <c r="I163" s="189">
        <f>SUM(I156:I162)</f>
        <v>0.07547236633708118</v>
      </c>
      <c r="J163" s="192">
        <f>K163*100/P163</f>
        <v>9.291834012494942</v>
      </c>
      <c r="K163" s="189">
        <f>SUM(K156:K162)</f>
        <v>0.5277153091947663</v>
      </c>
      <c r="L163" s="192">
        <f>M163*100/P163</f>
        <v>5.018184326700452</v>
      </c>
      <c r="M163" s="189">
        <f>SUM(M156:M162)</f>
        <v>0.28500000000000003</v>
      </c>
      <c r="N163" s="192">
        <f>O163*100/P163</f>
        <v>7.408943812281032</v>
      </c>
      <c r="O163" s="189">
        <f>SUM(O156:O162)</f>
        <v>0.4207794789970333</v>
      </c>
      <c r="P163" s="188">
        <f>SUM(P156:P162)</f>
        <v>5.679344987062138</v>
      </c>
    </row>
    <row r="164" spans="2:16" ht="12.75" outlineLevel="1">
      <c r="B164" s="110"/>
      <c r="C164" s="34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</row>
    <row r="165" ht="12.75" outlineLevel="1"/>
    <row r="166" spans="2:5" ht="12.75" outlineLevel="1">
      <c r="B166" s="239" t="s">
        <v>144</v>
      </c>
      <c r="C166" s="239"/>
      <c r="D166" s="239"/>
      <c r="E166" s="87">
        <f>E163/G163</f>
        <v>3.0446594304561696</v>
      </c>
    </row>
    <row r="167" spans="1:12" ht="12.75" outlineLevel="1">
      <c r="A167" s="221" t="s">
        <v>145</v>
      </c>
      <c r="B167" s="221"/>
      <c r="C167" s="237" t="s">
        <v>146</v>
      </c>
      <c r="D167" s="237"/>
      <c r="E167" s="50">
        <f>H64</f>
        <v>0.026422233820459298</v>
      </c>
      <c r="H167" s="229" t="s">
        <v>155</v>
      </c>
      <c r="I167" s="229"/>
      <c r="J167" s="229"/>
      <c r="K167" s="229"/>
      <c r="L167" s="32">
        <v>6.02E-05</v>
      </c>
    </row>
    <row r="168" spans="3:12" ht="12.75" outlineLevel="1">
      <c r="C168" s="237" t="s">
        <v>147</v>
      </c>
      <c r="D168" s="237"/>
      <c r="E168" s="50">
        <f>0.1*R83*F83/100</f>
        <v>0.09201993847125883</v>
      </c>
      <c r="H168" s="229" t="s">
        <v>156</v>
      </c>
      <c r="I168" s="229"/>
      <c r="J168" s="229"/>
      <c r="K168" s="229"/>
      <c r="L168" s="100">
        <f>SQRT(L167/E7)</f>
        <v>0.01551773179301666</v>
      </c>
    </row>
    <row r="169" spans="5:12" ht="12.75" outlineLevel="1">
      <c r="E169" s="1"/>
      <c r="H169" s="221"/>
      <c r="I169" s="221"/>
      <c r="J169" s="221"/>
      <c r="K169" s="221"/>
      <c r="L169" s="1"/>
    </row>
    <row r="170" spans="1:12" ht="12.75" outlineLevel="1">
      <c r="A170" s="221" t="s">
        <v>148</v>
      </c>
      <c r="B170" s="221"/>
      <c r="C170" s="229" t="s">
        <v>153</v>
      </c>
      <c r="D170" s="229"/>
      <c r="E170" s="77">
        <f>C156/100*0.6</f>
        <v>0.019548677802157816</v>
      </c>
      <c r="G170" s="229" t="s">
        <v>145</v>
      </c>
      <c r="H170" s="229"/>
      <c r="I170" s="229"/>
      <c r="J170" s="229" t="s">
        <v>157</v>
      </c>
      <c r="K170" s="229"/>
      <c r="L170" s="77">
        <f>P163*0.5/100</f>
        <v>0.02839672493531069</v>
      </c>
    </row>
    <row r="171" spans="3:12" ht="12.75" outlineLevel="1">
      <c r="C171" s="229" t="s">
        <v>149</v>
      </c>
      <c r="D171" s="229"/>
      <c r="E171" s="77">
        <f>C157*0.8/100</f>
        <v>0.006516225934052605</v>
      </c>
      <c r="J171" s="221" t="s">
        <v>158</v>
      </c>
      <c r="K171" s="221"/>
      <c r="L171" s="77">
        <f>E176-L168-L170</f>
        <v>0.15446910648632076</v>
      </c>
    </row>
    <row r="172" spans="3:13" ht="12.75" outlineLevel="1">
      <c r="C172" s="229" t="s">
        <v>150</v>
      </c>
      <c r="D172" s="229"/>
      <c r="E172" s="77">
        <f>C158*2/100</f>
        <v>0.006000000000000001</v>
      </c>
      <c r="H172" s="221" t="s">
        <v>159</v>
      </c>
      <c r="I172" s="221"/>
      <c r="J172" s="221"/>
      <c r="K172" s="221"/>
      <c r="L172" s="77">
        <f>12/72*L171</f>
        <v>0.025744851081053458</v>
      </c>
      <c r="M172" t="s">
        <v>160</v>
      </c>
    </row>
    <row r="173" spans="3:12" ht="12.75" outlineLevel="1">
      <c r="C173" s="229" t="s">
        <v>154</v>
      </c>
      <c r="D173" s="229"/>
      <c r="E173" s="77">
        <f>C159*2/100</f>
        <v>0.02715094139188585</v>
      </c>
      <c r="H173" s="221" t="s">
        <v>161</v>
      </c>
      <c r="I173" s="221"/>
      <c r="J173" s="221"/>
      <c r="K173" s="221"/>
      <c r="L173" s="77">
        <f>28/12*L172</f>
        <v>0.06007131918912474</v>
      </c>
    </row>
    <row r="174" spans="3:5" ht="12.75" outlineLevel="1">
      <c r="C174" s="229" t="s">
        <v>51</v>
      </c>
      <c r="D174" s="229"/>
      <c r="E174" s="77">
        <f>SUM(E170:E173)</f>
        <v>0.05921584512809627</v>
      </c>
    </row>
    <row r="175" spans="2:5" ht="12.75" outlineLevel="1">
      <c r="B175" s="229" t="s">
        <v>151</v>
      </c>
      <c r="C175" s="229"/>
      <c r="D175" s="229"/>
      <c r="E175" s="77">
        <f>E174*1.35</f>
        <v>0.07994139092292997</v>
      </c>
    </row>
    <row r="176" spans="2:5" ht="12.75" outlineLevel="1">
      <c r="B176" s="229" t="s">
        <v>152</v>
      </c>
      <c r="C176" s="229"/>
      <c r="D176" s="229"/>
      <c r="E176" s="77">
        <f>E175+E167+E168</f>
        <v>0.19838356321464812</v>
      </c>
    </row>
    <row r="177" spans="2:5" ht="12.75" outlineLevel="1">
      <c r="B177" s="18" t="s">
        <v>151</v>
      </c>
      <c r="C177" s="18"/>
      <c r="D177" s="18"/>
      <c r="E177" s="77"/>
    </row>
    <row r="178" ht="12.75" outlineLevel="1"/>
    <row r="179" spans="2:9" ht="13.5" outlineLevel="1" thickBot="1">
      <c r="B179" s="218" t="s">
        <v>162</v>
      </c>
      <c r="C179" s="218"/>
      <c r="D179" s="218"/>
      <c r="E179" s="218"/>
      <c r="F179" s="218"/>
      <c r="G179" s="218"/>
      <c r="H179" s="218"/>
      <c r="I179" s="13"/>
    </row>
    <row r="180" spans="2:10" ht="12.75" outlineLevel="1">
      <c r="B180" s="231" t="s">
        <v>94</v>
      </c>
      <c r="C180" s="232"/>
      <c r="D180" s="247"/>
      <c r="E180" s="305" t="s">
        <v>95</v>
      </c>
      <c r="F180" s="232"/>
      <c r="G180" s="232"/>
      <c r="H180" s="233"/>
      <c r="I180" s="89"/>
      <c r="J180" s="13"/>
    </row>
    <row r="181" spans="2:9" ht="12.75" outlineLevel="1">
      <c r="B181" s="307" t="s">
        <v>163</v>
      </c>
      <c r="C181" s="297"/>
      <c r="D181" s="90">
        <f>L87</f>
        <v>99.72748350100683</v>
      </c>
      <c r="E181" s="308" t="s">
        <v>171</v>
      </c>
      <c r="F181" s="297"/>
      <c r="G181" s="297"/>
      <c r="H181" s="85">
        <f>H134</f>
        <v>134.55798529122717</v>
      </c>
      <c r="I181" s="13"/>
    </row>
    <row r="182" spans="2:8" ht="12.75" outlineLevel="1">
      <c r="B182" s="217" t="s">
        <v>164</v>
      </c>
      <c r="C182" s="218"/>
      <c r="D182" s="90">
        <f>C161</f>
        <v>0.5897983068849942</v>
      </c>
      <c r="E182" s="306" t="s">
        <v>172</v>
      </c>
      <c r="F182" s="218"/>
      <c r="G182" s="218"/>
      <c r="H182" s="85">
        <f>P163</f>
        <v>5.679344987062138</v>
      </c>
    </row>
    <row r="183" spans="2:8" ht="12.75" outlineLevel="1">
      <c r="B183" s="217" t="s">
        <v>99</v>
      </c>
      <c r="C183" s="218"/>
      <c r="D183" s="90">
        <f>C156</f>
        <v>3.2581129670263023</v>
      </c>
      <c r="E183" s="306" t="s">
        <v>105</v>
      </c>
      <c r="F183" s="218"/>
      <c r="G183" s="218"/>
      <c r="H183" s="85">
        <f>L173</f>
        <v>0.06007131918912474</v>
      </c>
    </row>
    <row r="184" spans="2:8" ht="12.75" outlineLevel="1">
      <c r="B184" s="217" t="s">
        <v>165</v>
      </c>
      <c r="C184" s="218"/>
      <c r="D184" s="90">
        <f>C157</f>
        <v>0.8145282417565756</v>
      </c>
      <c r="E184" s="306"/>
      <c r="F184" s="218"/>
      <c r="G184" s="222"/>
      <c r="H184" s="85"/>
    </row>
    <row r="185" spans="2:8" ht="12.75" outlineLevel="1">
      <c r="B185" s="217" t="s">
        <v>166</v>
      </c>
      <c r="C185" s="218"/>
      <c r="D185" s="90">
        <f>C159</f>
        <v>1.3575470695942926</v>
      </c>
      <c r="E185" s="306"/>
      <c r="F185" s="218"/>
      <c r="G185" s="218"/>
      <c r="H185" s="85"/>
    </row>
    <row r="186" spans="2:8" ht="12.75" outlineLevel="1">
      <c r="B186" s="217" t="s">
        <v>167</v>
      </c>
      <c r="C186" s="218"/>
      <c r="D186" s="90">
        <f>I119</f>
        <v>1.3876931640372874</v>
      </c>
      <c r="E186" s="306"/>
      <c r="F186" s="218"/>
      <c r="G186" s="218"/>
      <c r="H186" s="85"/>
    </row>
    <row r="187" spans="2:8" ht="12.75" outlineLevel="1">
      <c r="B187" s="217" t="s">
        <v>100</v>
      </c>
      <c r="C187" s="218"/>
      <c r="D187" s="90">
        <f>C158</f>
        <v>0.30000000000000004</v>
      </c>
      <c r="E187" s="306"/>
      <c r="F187" s="218"/>
      <c r="G187" s="218"/>
      <c r="H187" s="85"/>
    </row>
    <row r="188" spans="2:8" ht="12.75" outlineLevel="1">
      <c r="B188" s="217" t="s">
        <v>168</v>
      </c>
      <c r="C188" s="218"/>
      <c r="D188" s="90">
        <f>K125</f>
        <v>0.030901957544958857</v>
      </c>
      <c r="E188" s="306"/>
      <c r="F188" s="218"/>
      <c r="G188" s="218"/>
      <c r="H188" s="85"/>
    </row>
    <row r="189" spans="2:8" ht="12.75" outlineLevel="1">
      <c r="B189" s="217" t="s">
        <v>169</v>
      </c>
      <c r="C189" s="218"/>
      <c r="D189" s="90">
        <f>K124</f>
        <v>0.2564744340857181</v>
      </c>
      <c r="E189" s="306"/>
      <c r="F189" s="218"/>
      <c r="G189" s="218"/>
      <c r="H189" s="85"/>
    </row>
    <row r="190" spans="2:8" ht="12.75" outlineLevel="1">
      <c r="B190" s="217" t="s">
        <v>170</v>
      </c>
      <c r="C190" s="218"/>
      <c r="D190" s="90">
        <f>K126</f>
        <v>10.163371507134435</v>
      </c>
      <c r="E190" s="277"/>
      <c r="F190" s="310"/>
      <c r="G190" s="310"/>
      <c r="H190" s="85"/>
    </row>
    <row r="191" spans="2:8" ht="12.75" outlineLevel="1">
      <c r="B191" s="315" t="s">
        <v>203</v>
      </c>
      <c r="C191" s="316"/>
      <c r="D191" s="90">
        <f>K129</f>
        <v>11.484643894553708</v>
      </c>
      <c r="E191" s="308"/>
      <c r="F191" s="297"/>
      <c r="G191" s="298"/>
      <c r="H191" s="85"/>
    </row>
    <row r="192" spans="2:8" ht="12.75" outlineLevel="1">
      <c r="B192" s="315" t="s">
        <v>204</v>
      </c>
      <c r="C192" s="316"/>
      <c r="D192" s="90">
        <f>K128</f>
        <v>3.195752150666645</v>
      </c>
      <c r="E192" s="306"/>
      <c r="F192" s="218"/>
      <c r="G192" s="222"/>
      <c r="H192" s="85"/>
    </row>
    <row r="193" spans="2:8" ht="12.75" outlineLevel="1">
      <c r="B193" s="315" t="s">
        <v>205</v>
      </c>
      <c r="C193" s="316"/>
      <c r="D193" s="90">
        <f>K127</f>
        <v>8.11113816878537</v>
      </c>
      <c r="E193" s="306"/>
      <c r="F193" s="218"/>
      <c r="G193" s="222"/>
      <c r="H193" s="85"/>
    </row>
    <row r="194" spans="2:8" ht="12.75" outlineLevel="1">
      <c r="B194" s="217" t="s">
        <v>206</v>
      </c>
      <c r="C194" s="222"/>
      <c r="D194" s="90">
        <f>K130</f>
        <v>0.2774391449303653</v>
      </c>
      <c r="E194" s="277"/>
      <c r="F194" s="310"/>
      <c r="G194" s="278"/>
      <c r="H194" s="85"/>
    </row>
    <row r="195" spans="2:8" ht="13.5" outlineLevel="1" thickBot="1">
      <c r="B195" s="319" t="s">
        <v>101</v>
      </c>
      <c r="C195" s="293"/>
      <c r="D195" s="123">
        <f>SUM(D181:D194)</f>
        <v>140.95488450800747</v>
      </c>
      <c r="E195" s="311" t="s">
        <v>101</v>
      </c>
      <c r="F195" s="293"/>
      <c r="G195" s="312"/>
      <c r="H195" s="86">
        <f>SUM(H181:H194)</f>
        <v>140.29740159747843</v>
      </c>
    </row>
    <row r="196" spans="2:8" ht="12.75" outlineLevel="1">
      <c r="B196" s="309" t="s">
        <v>173</v>
      </c>
      <c r="C196" s="309"/>
      <c r="D196" s="309"/>
      <c r="E196" s="309"/>
      <c r="F196" s="309"/>
      <c r="G196" s="87">
        <f>ABS((D195-H195)/H195)*100</f>
        <v>0.4686351301183739</v>
      </c>
      <c r="H196" s="91" t="s">
        <v>21</v>
      </c>
    </row>
    <row r="197" ht="12.75" outlineLevel="1"/>
    <row r="198" spans="2:15" ht="13.5" outlineLevel="1" thickBot="1">
      <c r="B198" s="313" t="s">
        <v>193</v>
      </c>
      <c r="C198" s="313"/>
      <c r="D198" s="314"/>
      <c r="E198" s="314"/>
      <c r="F198" s="314"/>
      <c r="G198" s="314"/>
      <c r="H198" s="314"/>
      <c r="I198" s="314"/>
      <c r="J198" s="314"/>
      <c r="K198" s="314"/>
      <c r="L198" s="314"/>
      <c r="M198" s="314"/>
      <c r="N198" s="314"/>
      <c r="O198" s="314"/>
    </row>
    <row r="199" spans="2:15" ht="13.5" thickBot="1">
      <c r="B199" s="215" t="s">
        <v>71</v>
      </c>
      <c r="C199" s="317" t="s">
        <v>42</v>
      </c>
      <c r="D199" s="320" t="s">
        <v>181</v>
      </c>
      <c r="E199" s="321"/>
      <c r="F199" s="321"/>
      <c r="G199" s="321"/>
      <c r="H199" s="321"/>
      <c r="I199" s="321"/>
      <c r="J199" s="321"/>
      <c r="K199" s="321"/>
      <c r="L199" s="321"/>
      <c r="M199" s="321"/>
      <c r="N199" s="322"/>
      <c r="O199" s="171"/>
    </row>
    <row r="200" spans="2:14" ht="13.5" thickBot="1">
      <c r="B200" s="236"/>
      <c r="C200" s="318"/>
      <c r="D200" s="175" t="s">
        <v>180</v>
      </c>
      <c r="E200" s="176" t="s">
        <v>3</v>
      </c>
      <c r="F200" s="176" t="s">
        <v>4</v>
      </c>
      <c r="G200" s="176" t="s">
        <v>5</v>
      </c>
      <c r="H200" s="169" t="s">
        <v>6</v>
      </c>
      <c r="I200" s="169" t="s">
        <v>187</v>
      </c>
      <c r="J200" s="177" t="s">
        <v>194</v>
      </c>
      <c r="K200" s="131" t="s">
        <v>195</v>
      </c>
      <c r="L200" s="131" t="s">
        <v>200</v>
      </c>
      <c r="M200" s="176" t="s">
        <v>8</v>
      </c>
      <c r="N200" s="144" t="s">
        <v>7</v>
      </c>
    </row>
    <row r="201" spans="2:14" ht="12.75">
      <c r="B201" s="92" t="s">
        <v>140</v>
      </c>
      <c r="C201" s="198">
        <f>L87</f>
        <v>99.72748350100683</v>
      </c>
      <c r="D201" s="159">
        <f>J40*C201/C214</f>
        <v>0.34083413775382515</v>
      </c>
      <c r="E201" s="160">
        <f>K40*C201/C214</f>
        <v>0.06114913092530135</v>
      </c>
      <c r="F201" s="161"/>
      <c r="G201" s="161"/>
      <c r="H201" s="162"/>
      <c r="I201" s="163"/>
      <c r="J201" s="13"/>
      <c r="K201" s="126"/>
      <c r="L201" s="13"/>
      <c r="M201" s="128">
        <f>N40</f>
        <v>0.017640000000000003</v>
      </c>
      <c r="N201" s="129">
        <f>M40</f>
        <v>0.027200000000000002</v>
      </c>
    </row>
    <row r="202" spans="2:14" ht="12.75">
      <c r="B202" s="92" t="s">
        <v>168</v>
      </c>
      <c r="C202" s="140">
        <f>K125</f>
        <v>0.030901957544958857</v>
      </c>
      <c r="D202" s="138">
        <f>D18/C214*C202</f>
        <v>0</v>
      </c>
      <c r="E202" s="147">
        <f>F18/C214*C202</f>
        <v>0</v>
      </c>
      <c r="F202" s="147">
        <f>E18/C214*C202</f>
        <v>0.017914392052905626</v>
      </c>
      <c r="G202" s="147">
        <f>C202*H18/C214</f>
        <v>0</v>
      </c>
      <c r="H202" s="147">
        <f>C202*I18/C214</f>
        <v>0</v>
      </c>
      <c r="I202" s="148">
        <f>C202*G18/C214</f>
        <v>6.890150789579088E-05</v>
      </c>
      <c r="J202" s="148">
        <f>C202*J18/C214</f>
        <v>0</v>
      </c>
      <c r="K202" s="148">
        <f>C202*K18/C214</f>
        <v>0</v>
      </c>
      <c r="L202" s="148">
        <f>C202*L18/C214</f>
        <v>0.0003445075394789543</v>
      </c>
      <c r="M202" s="147">
        <f>N18/C214*C202</f>
        <v>1.1483584649298478E-05</v>
      </c>
      <c r="N202" s="152">
        <f>M18*C202/C214</f>
        <v>4.593433859719392E-06</v>
      </c>
    </row>
    <row r="203" spans="2:14" ht="12.75">
      <c r="B203" s="92" t="s">
        <v>169</v>
      </c>
      <c r="C203" s="140">
        <f>K124</f>
        <v>0.2564744340857181</v>
      </c>
      <c r="D203" s="138">
        <f>D19/C214*C203</f>
        <v>0.0009530936251916295</v>
      </c>
      <c r="E203" s="147">
        <f>F19/C214*C203</f>
        <v>0.162025916282577</v>
      </c>
      <c r="F203" s="147">
        <f>E19/C214*C203</f>
        <v>0.0003812374500766518</v>
      </c>
      <c r="G203" s="147">
        <f>H19/C214*C203</f>
        <v>0</v>
      </c>
      <c r="H203" s="147">
        <f>I19/C214*C203</f>
        <v>0</v>
      </c>
      <c r="I203" s="147">
        <f>G19/C214*D203</f>
        <v>0</v>
      </c>
      <c r="J203" s="147">
        <f>J19/C214*C203</f>
        <v>0</v>
      </c>
      <c r="K203" s="147">
        <f>K19/C214*C203</f>
        <v>0</v>
      </c>
      <c r="L203" s="147">
        <f>L19/C214*C203</f>
        <v>0</v>
      </c>
      <c r="M203" s="147">
        <f>N19/C214*C203</f>
        <v>0.0005718561751149777</v>
      </c>
      <c r="N203" s="152">
        <f>M19*C203/C214</f>
        <v>5.718561751149777E-05</v>
      </c>
    </row>
    <row r="204" spans="2:14" ht="12.75">
      <c r="B204" s="92" t="s">
        <v>170</v>
      </c>
      <c r="C204" s="140">
        <f>K126</f>
        <v>10.163371507134435</v>
      </c>
      <c r="D204" s="138">
        <f>D24/C214*C204</f>
        <v>0.0037768460737363924</v>
      </c>
      <c r="E204" s="147">
        <f>C204/C214*F24</f>
        <v>0</v>
      </c>
      <c r="F204" s="147">
        <f>C204*E24/C214</f>
        <v>0.06042953717978228</v>
      </c>
      <c r="G204" s="147">
        <f>H24*C204/C214</f>
        <v>4.532215288483671</v>
      </c>
      <c r="H204" s="147">
        <f>I24*C204/C214</f>
        <v>0</v>
      </c>
      <c r="I204" s="147">
        <f>G24*E204/C214</f>
        <v>0</v>
      </c>
      <c r="J204" s="147">
        <f>J24*C204/C214</f>
        <v>0.022661076442418354</v>
      </c>
      <c r="K204" s="147">
        <f>K24*C204/C214</f>
        <v>0</v>
      </c>
      <c r="L204" s="147">
        <f>L24*C204/C214</f>
        <v>0</v>
      </c>
      <c r="M204" s="147">
        <f>N24/C214*C204</f>
        <v>0.0037768460737363924</v>
      </c>
      <c r="N204" s="152">
        <f>C204*M24/C214</f>
        <v>0.007553692147472785</v>
      </c>
    </row>
    <row r="205" spans="2:14" ht="12.75">
      <c r="B205" s="92" t="s">
        <v>203</v>
      </c>
      <c r="C205" s="140">
        <f>K129</f>
        <v>11.484643894553708</v>
      </c>
      <c r="D205" s="139">
        <f>D20/C214*C205</f>
        <v>0.008535697464361528</v>
      </c>
      <c r="E205" s="147">
        <f>F20/C214*C205</f>
        <v>0.017071394928723057</v>
      </c>
      <c r="F205" s="147">
        <f>E20/C214*C205</f>
        <v>0.06828557971489223</v>
      </c>
      <c r="G205" s="147">
        <f>H20/C214*C205</f>
        <v>0.5121418478616917</v>
      </c>
      <c r="H205" s="147">
        <f>I20/C214*C205</f>
        <v>0</v>
      </c>
      <c r="I205" s="147">
        <f>G20/C214*C205</f>
        <v>0</v>
      </c>
      <c r="J205" s="147">
        <f>J20/C214*C205</f>
        <v>5.974988225053069</v>
      </c>
      <c r="K205" s="147">
        <f>K20/C214*C205</f>
        <v>0</v>
      </c>
      <c r="L205" s="147">
        <f>L20/C214*C205</f>
        <v>0.25607092393084585</v>
      </c>
      <c r="M205" s="147">
        <f>N20/C214*C205</f>
        <v>0.002560709239308458</v>
      </c>
      <c r="N205" s="152">
        <f>N20/C214*C205</f>
        <v>0.002560709239308458</v>
      </c>
    </row>
    <row r="206" spans="2:14" ht="12.75">
      <c r="B206" s="92" t="s">
        <v>204</v>
      </c>
      <c r="C206" s="140">
        <f>K128</f>
        <v>3.195752150666645</v>
      </c>
      <c r="D206" s="139">
        <f>D21/C214*C206</f>
        <v>0.0023751692938523803</v>
      </c>
      <c r="E206" s="147">
        <f>F21/C214*C206</f>
        <v>0.009500677175409521</v>
      </c>
      <c r="F206" s="147">
        <f>E21/C214*C206</f>
        <v>0.04750338587704761</v>
      </c>
      <c r="G206" s="147">
        <f>H21/C214*C206</f>
        <v>0</v>
      </c>
      <c r="H206" s="147">
        <f>I21/C214*C206</f>
        <v>1.9001354350819042</v>
      </c>
      <c r="I206" s="147">
        <f>G21/C214*C206</f>
        <v>0</v>
      </c>
      <c r="J206" s="147">
        <f>J21/C214*C206</f>
        <v>0</v>
      </c>
      <c r="K206" s="147">
        <f>K21/C214*C206</f>
        <v>0</v>
      </c>
      <c r="L206" s="147">
        <f>L21/C214*C206</f>
        <v>0.023751692938523805</v>
      </c>
      <c r="M206" s="147">
        <f>N21/C214*C206</f>
        <v>0.0023751692938523803</v>
      </c>
      <c r="N206" s="152">
        <f>N21/C214*C206</f>
        <v>0.0023751692938523803</v>
      </c>
    </row>
    <row r="207" spans="2:14" ht="12.75" customHeight="1">
      <c r="B207" s="92" t="s">
        <v>205</v>
      </c>
      <c r="C207" s="140">
        <f>K127</f>
        <v>8.11113816878537</v>
      </c>
      <c r="D207" s="139">
        <f>D22/C214*C207</f>
        <v>0.0006028416913581432</v>
      </c>
      <c r="E207" s="147">
        <f>F22/C214*C207</f>
        <v>0</v>
      </c>
      <c r="F207" s="147">
        <f>E22/C214*C207</f>
        <v>0.04822733530865145</v>
      </c>
      <c r="G207" s="147">
        <f>H22/C214*C207</f>
        <v>0</v>
      </c>
      <c r="H207" s="147">
        <f>I22/C214*C207</f>
        <v>0</v>
      </c>
      <c r="I207" s="147">
        <f>G22/C214*C207</f>
        <v>4.099323501235373</v>
      </c>
      <c r="J207" s="147">
        <f>J22/C214*C207</f>
        <v>0</v>
      </c>
      <c r="K207" s="147">
        <f>K22/C214*C207</f>
        <v>0</v>
      </c>
      <c r="L207" s="147">
        <f>L22/C214*C207</f>
        <v>0.018085250740744293</v>
      </c>
      <c r="M207" s="147">
        <f>N22/C214*C207</f>
        <v>0.0012056833827162863</v>
      </c>
      <c r="N207" s="152">
        <f>N22/C214*C207</f>
        <v>0.0012056833827162863</v>
      </c>
    </row>
    <row r="208" spans="2:14" ht="12.75" customHeight="1">
      <c r="B208" s="35" t="s">
        <v>217</v>
      </c>
      <c r="C208" s="140">
        <f>K130</f>
        <v>0.2774391449303653</v>
      </c>
      <c r="D208" s="139">
        <f>D23/C214*C208</f>
        <v>0.0003093003963779552</v>
      </c>
      <c r="E208" s="147">
        <f>F23/C214*C208</f>
        <v>0</v>
      </c>
      <c r="F208" s="147">
        <f>E23/C214*C208</f>
        <v>0</v>
      </c>
      <c r="G208" s="147">
        <f>H23/C214*C208</f>
        <v>0</v>
      </c>
      <c r="H208" s="147">
        <f>I23/C214*C208</f>
        <v>0</v>
      </c>
      <c r="I208" s="147">
        <f>G23/C214*C208</f>
        <v>0</v>
      </c>
      <c r="J208" s="147">
        <f>J23/C214*C208</f>
        <v>0</v>
      </c>
      <c r="K208" s="147">
        <f>K23/C214*C208</f>
        <v>0.20001425632441103</v>
      </c>
      <c r="L208" s="147">
        <f>L23/C214*C208</f>
        <v>0</v>
      </c>
      <c r="M208" s="147">
        <f>N23/C214*C208</f>
        <v>8.248010570078804E-05</v>
      </c>
      <c r="N208" s="152">
        <f>N23/C214*C208</f>
        <v>8.248010570078804E-05</v>
      </c>
    </row>
    <row r="209" spans="2:14" ht="12.75" customHeight="1">
      <c r="B209" s="92" t="s">
        <v>175</v>
      </c>
      <c r="C209" s="95">
        <f>K131</f>
        <v>1.3011897047169068</v>
      </c>
      <c r="D209" s="164">
        <f>C209*E106*E107/C214</f>
        <v>0.5019141695753567</v>
      </c>
      <c r="E209" s="151"/>
      <c r="F209" s="151"/>
      <c r="G209" s="151"/>
      <c r="H209" s="149"/>
      <c r="I209" s="149"/>
      <c r="J209" s="150"/>
      <c r="K209" s="149"/>
      <c r="L209" s="149"/>
      <c r="M209" s="151"/>
      <c r="N209" s="152">
        <f>2*C209/C214</f>
        <v>0.019341586496160187</v>
      </c>
    </row>
    <row r="210" spans="2:14" ht="12.75" customHeight="1">
      <c r="B210" s="92" t="s">
        <v>178</v>
      </c>
      <c r="C210" s="96"/>
      <c r="D210" s="165"/>
      <c r="E210" s="151"/>
      <c r="F210" s="151"/>
      <c r="G210" s="151"/>
      <c r="H210" s="149"/>
      <c r="I210" s="149"/>
      <c r="J210" s="150"/>
      <c r="K210" s="149"/>
      <c r="L210" s="149"/>
      <c r="M210" s="151"/>
      <c r="N210" s="94">
        <f>E148/C214*100</f>
        <v>0.03240430739767918</v>
      </c>
    </row>
    <row r="211" spans="2:14" ht="38.25">
      <c r="B211" s="35" t="s">
        <v>182</v>
      </c>
      <c r="C211" s="96"/>
      <c r="D211" s="164">
        <f aca="true" t="shared" si="3" ref="D211:H213">C5</f>
        <v>0.82</v>
      </c>
      <c r="E211" s="166">
        <f t="shared" si="3"/>
        <v>0</v>
      </c>
      <c r="F211" s="166">
        <f t="shared" si="3"/>
        <v>0</v>
      </c>
      <c r="G211" s="166">
        <f t="shared" si="3"/>
        <v>4.8</v>
      </c>
      <c r="H211" s="166">
        <f t="shared" si="3"/>
        <v>1.7</v>
      </c>
      <c r="I211" s="166">
        <f aca="true" t="shared" si="4" ref="I211:J213">H5</f>
        <v>3.8</v>
      </c>
      <c r="J211" s="130">
        <f t="shared" si="4"/>
        <v>5.5</v>
      </c>
      <c r="K211" s="130">
        <f>J5</f>
        <v>0</v>
      </c>
      <c r="L211" s="27">
        <v>0</v>
      </c>
      <c r="M211" s="98">
        <f>L5</f>
        <v>0</v>
      </c>
      <c r="N211" s="99">
        <f>K5</f>
        <v>0</v>
      </c>
    </row>
    <row r="212" spans="2:14" ht="12.75">
      <c r="B212" s="92" t="s">
        <v>179</v>
      </c>
      <c r="C212" s="96"/>
      <c r="D212" s="132">
        <f t="shared" si="3"/>
        <v>0.9</v>
      </c>
      <c r="E212" s="93">
        <f t="shared" si="3"/>
        <v>0.5</v>
      </c>
      <c r="F212" s="93">
        <f t="shared" si="3"/>
        <v>0.5</v>
      </c>
      <c r="G212" s="93">
        <f t="shared" si="3"/>
        <v>5.3</v>
      </c>
      <c r="H212" s="93">
        <f t="shared" si="3"/>
        <v>2.1</v>
      </c>
      <c r="I212" s="93">
        <f t="shared" si="4"/>
        <v>4.4</v>
      </c>
      <c r="J212" s="93">
        <f t="shared" si="4"/>
        <v>6.5</v>
      </c>
      <c r="K212" s="93">
        <f>J6</f>
        <v>0.4</v>
      </c>
      <c r="L212" s="27">
        <v>0</v>
      </c>
      <c r="M212" s="93">
        <f>L6</f>
        <v>0.03</v>
      </c>
      <c r="N212" s="94">
        <f>K6</f>
        <v>0.04</v>
      </c>
    </row>
    <row r="213" spans="2:14" ht="13.5" thickBot="1">
      <c r="B213" s="92" t="s">
        <v>176</v>
      </c>
      <c r="C213" s="97"/>
      <c r="D213" s="135">
        <f t="shared" si="3"/>
        <v>0.86</v>
      </c>
      <c r="E213" s="136">
        <f t="shared" si="3"/>
        <v>0.25</v>
      </c>
      <c r="F213" s="136">
        <f t="shared" si="3"/>
        <v>0.25</v>
      </c>
      <c r="G213" s="136">
        <f t="shared" si="3"/>
        <v>5.05</v>
      </c>
      <c r="H213" s="136">
        <f t="shared" si="3"/>
        <v>1.9</v>
      </c>
      <c r="I213" s="136">
        <f t="shared" si="4"/>
        <v>4.1</v>
      </c>
      <c r="J213" s="136">
        <f t="shared" si="4"/>
        <v>6</v>
      </c>
      <c r="K213" s="136">
        <f>J7</f>
        <v>0.2</v>
      </c>
      <c r="L213" s="30">
        <v>0</v>
      </c>
      <c r="M213" s="136">
        <f>L7</f>
        <v>0.015</v>
      </c>
      <c r="N213" s="137">
        <f>K7</f>
        <v>0.02</v>
      </c>
    </row>
    <row r="214" spans="2:14" ht="13.5" thickBot="1">
      <c r="B214" s="146" t="s">
        <v>177</v>
      </c>
      <c r="C214" s="145">
        <f>SUM(C201:C213)</f>
        <v>134.54839446342493</v>
      </c>
      <c r="D214" s="179">
        <f aca="true" t="shared" si="5" ref="D214:M214">SUM(D201:D209)</f>
        <v>0.8593012558740599</v>
      </c>
      <c r="E214" s="178">
        <f t="shared" si="5"/>
        <v>0.24974711931201096</v>
      </c>
      <c r="F214" s="178">
        <f t="shared" si="5"/>
        <v>0.24274146758335582</v>
      </c>
      <c r="G214" s="178">
        <f t="shared" si="5"/>
        <v>5.044357136345362</v>
      </c>
      <c r="H214" s="178">
        <f t="shared" si="5"/>
        <v>1.9001354350819042</v>
      </c>
      <c r="I214" s="178">
        <f t="shared" si="5"/>
        <v>4.099392402743269</v>
      </c>
      <c r="J214" s="178">
        <f t="shared" si="5"/>
        <v>5.997649301495487</v>
      </c>
      <c r="K214" s="178">
        <f t="shared" si="5"/>
        <v>0.20001425632441103</v>
      </c>
      <c r="L214" s="178">
        <f t="shared" si="5"/>
        <v>0.2982523751495929</v>
      </c>
      <c r="M214" s="133">
        <f t="shared" si="5"/>
        <v>0.02822422785507858</v>
      </c>
      <c r="N214" s="134">
        <f>SUM(N201:N209)-N210</f>
        <v>0.027976792318902925</v>
      </c>
    </row>
    <row r="215" ht="12.75">
      <c r="D215" s="50"/>
    </row>
  </sheetData>
  <mergeCells count="224">
    <mergeCell ref="C3:L3"/>
    <mergeCell ref="D16:N16"/>
    <mergeCell ref="B129:D129"/>
    <mergeCell ref="B130:D130"/>
    <mergeCell ref="B86:D86"/>
    <mergeCell ref="B87:D87"/>
    <mergeCell ref="J92:K92"/>
    <mergeCell ref="B114:D114"/>
    <mergeCell ref="G90:H90"/>
    <mergeCell ref="B75:R75"/>
    <mergeCell ref="B198:O198"/>
    <mergeCell ref="B191:C191"/>
    <mergeCell ref="B199:B200"/>
    <mergeCell ref="C199:C200"/>
    <mergeCell ref="B195:C195"/>
    <mergeCell ref="B192:C192"/>
    <mergeCell ref="B193:C193"/>
    <mergeCell ref="E191:G191"/>
    <mergeCell ref="E192:G192"/>
    <mergeCell ref="D199:N199"/>
    <mergeCell ref="B187:C187"/>
    <mergeCell ref="E193:G193"/>
    <mergeCell ref="B189:C189"/>
    <mergeCell ref="B190:C190"/>
    <mergeCell ref="B196:F196"/>
    <mergeCell ref="E188:G188"/>
    <mergeCell ref="E189:G189"/>
    <mergeCell ref="E190:G190"/>
    <mergeCell ref="E194:G194"/>
    <mergeCell ref="B194:C194"/>
    <mergeCell ref="B188:C188"/>
    <mergeCell ref="E195:G195"/>
    <mergeCell ref="E185:G185"/>
    <mergeCell ref="E186:G186"/>
    <mergeCell ref="E184:G184"/>
    <mergeCell ref="E187:G187"/>
    <mergeCell ref="B186:C186"/>
    <mergeCell ref="E180:H180"/>
    <mergeCell ref="B119:D119"/>
    <mergeCell ref="B113:D113"/>
    <mergeCell ref="B115:D115"/>
    <mergeCell ref="E183:G183"/>
    <mergeCell ref="B182:C182"/>
    <mergeCell ref="B181:C181"/>
    <mergeCell ref="E181:G181"/>
    <mergeCell ref="E182:G182"/>
    <mergeCell ref="A107:D107"/>
    <mergeCell ref="A106:D106"/>
    <mergeCell ref="B85:D85"/>
    <mergeCell ref="J89:K89"/>
    <mergeCell ref="J90:K90"/>
    <mergeCell ref="J91:K91"/>
    <mergeCell ref="G85:L85"/>
    <mergeCell ref="C102:G102"/>
    <mergeCell ref="J86:L86"/>
    <mergeCell ref="G86:I86"/>
    <mergeCell ref="A108:D108"/>
    <mergeCell ref="B142:D142"/>
    <mergeCell ref="B143:D143"/>
    <mergeCell ref="B144:D144"/>
    <mergeCell ref="B134:G134"/>
    <mergeCell ref="C122:G122"/>
    <mergeCell ref="B131:D131"/>
    <mergeCell ref="B132:H132"/>
    <mergeCell ref="G139:I139"/>
    <mergeCell ref="G140:H140"/>
    <mergeCell ref="B185:C185"/>
    <mergeCell ref="B112:D112"/>
    <mergeCell ref="B120:H120"/>
    <mergeCell ref="B147:D147"/>
    <mergeCell ref="B145:D145"/>
    <mergeCell ref="B184:C184"/>
    <mergeCell ref="B116:D116"/>
    <mergeCell ref="B117:D117"/>
    <mergeCell ref="B118:D118"/>
    <mergeCell ref="B124:D124"/>
    <mergeCell ref="B68:G68"/>
    <mergeCell ref="B69:G69"/>
    <mergeCell ref="B71:G71"/>
    <mergeCell ref="F73:G73"/>
    <mergeCell ref="F72:G72"/>
    <mergeCell ref="B72:D72"/>
    <mergeCell ref="C70:G70"/>
    <mergeCell ref="H58:I58"/>
    <mergeCell ref="H59:I59"/>
    <mergeCell ref="A61:C62"/>
    <mergeCell ref="F58:G58"/>
    <mergeCell ref="D59:E59"/>
    <mergeCell ref="F59:G59"/>
    <mergeCell ref="H54:I54"/>
    <mergeCell ref="H55:I55"/>
    <mergeCell ref="H56:I56"/>
    <mergeCell ref="D61:G61"/>
    <mergeCell ref="F57:G57"/>
    <mergeCell ref="H57:I57"/>
    <mergeCell ref="D57:E57"/>
    <mergeCell ref="D58:E58"/>
    <mergeCell ref="F56:G56"/>
    <mergeCell ref="F55:G55"/>
    <mergeCell ref="J52:K52"/>
    <mergeCell ref="D53:E53"/>
    <mergeCell ref="D56:E56"/>
    <mergeCell ref="F53:G53"/>
    <mergeCell ref="D52:E52"/>
    <mergeCell ref="D54:E54"/>
    <mergeCell ref="D55:E55"/>
    <mergeCell ref="F52:G52"/>
    <mergeCell ref="J55:K55"/>
    <mergeCell ref="H53:I53"/>
    <mergeCell ref="L38:L39"/>
    <mergeCell ref="M38:M39"/>
    <mergeCell ref="N38:N39"/>
    <mergeCell ref="I40:I42"/>
    <mergeCell ref="N40:N42"/>
    <mergeCell ref="L40:L42"/>
    <mergeCell ref="M40:M42"/>
    <mergeCell ref="K38:K39"/>
    <mergeCell ref="J40:J42"/>
    <mergeCell ref="K40:K42"/>
    <mergeCell ref="J38:J39"/>
    <mergeCell ref="R77:R78"/>
    <mergeCell ref="D77:E77"/>
    <mergeCell ref="J77:K77"/>
    <mergeCell ref="N77:O77"/>
    <mergeCell ref="P77:Q77"/>
    <mergeCell ref="L77:M77"/>
    <mergeCell ref="H77:I77"/>
    <mergeCell ref="F54:G54"/>
    <mergeCell ref="B49:D49"/>
    <mergeCell ref="C76:C78"/>
    <mergeCell ref="B76:B78"/>
    <mergeCell ref="F77:G77"/>
    <mergeCell ref="D62:G62"/>
    <mergeCell ref="B63:G63"/>
    <mergeCell ref="B64:G64"/>
    <mergeCell ref="B65:G65"/>
    <mergeCell ref="B66:G66"/>
    <mergeCell ref="B67:G67"/>
    <mergeCell ref="D76:R76"/>
    <mergeCell ref="B179:H179"/>
    <mergeCell ref="G143:H143"/>
    <mergeCell ref="B180:D180"/>
    <mergeCell ref="G149:I149"/>
    <mergeCell ref="A167:B167"/>
    <mergeCell ref="B175:D175"/>
    <mergeCell ref="B176:D176"/>
    <mergeCell ref="C174:D174"/>
    <mergeCell ref="A170:B170"/>
    <mergeCell ref="C171:D171"/>
    <mergeCell ref="G141:H141"/>
    <mergeCell ref="G142:H142"/>
    <mergeCell ref="B183:C183"/>
    <mergeCell ref="A149:D149"/>
    <mergeCell ref="A150:D150"/>
    <mergeCell ref="B152:M152"/>
    <mergeCell ref="F154:G154"/>
    <mergeCell ref="G150:I150"/>
    <mergeCell ref="C153:C155"/>
    <mergeCell ref="B153:B155"/>
    <mergeCell ref="D154:E154"/>
    <mergeCell ref="L154:M154"/>
    <mergeCell ref="B109:D109"/>
    <mergeCell ref="A148:D148"/>
    <mergeCell ref="B139:D139"/>
    <mergeCell ref="B140:D140"/>
    <mergeCell ref="B141:D141"/>
    <mergeCell ref="B146:D146"/>
    <mergeCell ref="B125:D125"/>
    <mergeCell ref="B126:D126"/>
    <mergeCell ref="B127:D127"/>
    <mergeCell ref="B128:D128"/>
    <mergeCell ref="H172:K172"/>
    <mergeCell ref="N154:O154"/>
    <mergeCell ref="D153:P153"/>
    <mergeCell ref="H167:K167"/>
    <mergeCell ref="B166:D166"/>
    <mergeCell ref="C167:D167"/>
    <mergeCell ref="H154:I154"/>
    <mergeCell ref="J154:K154"/>
    <mergeCell ref="H173:K173"/>
    <mergeCell ref="C173:D173"/>
    <mergeCell ref="H168:K168"/>
    <mergeCell ref="H169:K169"/>
    <mergeCell ref="G170:I170"/>
    <mergeCell ref="J170:K170"/>
    <mergeCell ref="C172:D172"/>
    <mergeCell ref="C170:D170"/>
    <mergeCell ref="C168:D168"/>
    <mergeCell ref="J171:K171"/>
    <mergeCell ref="C1:H1"/>
    <mergeCell ref="C16:C17"/>
    <mergeCell ref="B15:J15"/>
    <mergeCell ref="B2:I2"/>
    <mergeCell ref="C10:G10"/>
    <mergeCell ref="B10:B11"/>
    <mergeCell ref="B3:B4"/>
    <mergeCell ref="H10:H11"/>
    <mergeCell ref="B16:B17"/>
    <mergeCell ref="B9:H9"/>
    <mergeCell ref="C100:H100"/>
    <mergeCell ref="G93:J93"/>
    <mergeCell ref="G92:H92"/>
    <mergeCell ref="G91:H91"/>
    <mergeCell ref="G89:H89"/>
    <mergeCell ref="B89:D89"/>
    <mergeCell ref="G88:H88"/>
    <mergeCell ref="J87:K87"/>
    <mergeCell ref="G87:H87"/>
    <mergeCell ref="B88:D88"/>
    <mergeCell ref="J88:K88"/>
    <mergeCell ref="J34:N34"/>
    <mergeCell ref="I34:I35"/>
    <mergeCell ref="B32:G32"/>
    <mergeCell ref="C34:F34"/>
    <mergeCell ref="B31:G31"/>
    <mergeCell ref="C29:H29"/>
    <mergeCell ref="C39:G39"/>
    <mergeCell ref="H52:I52"/>
    <mergeCell ref="I38:I39"/>
    <mergeCell ref="B47:E47"/>
    <mergeCell ref="B43:E43"/>
    <mergeCell ref="A45:E45"/>
    <mergeCell ref="B46:E46"/>
    <mergeCell ref="B44:E44"/>
  </mergeCells>
  <conditionalFormatting sqref="M214">
    <cfRule type="cellIs" priority="1" dxfId="0" operator="notBetween" stopIfTrue="1">
      <formula>$M$211</formula>
      <formula>$M$212</formula>
    </cfRule>
  </conditionalFormatting>
  <conditionalFormatting sqref="N214">
    <cfRule type="cellIs" priority="2" dxfId="0" operator="notBetween" stopIfTrue="1">
      <formula>$N$211</formula>
      <formula>$N$212</formula>
    </cfRule>
  </conditionalFormatting>
  <conditionalFormatting sqref="K214">
    <cfRule type="cellIs" priority="3" dxfId="0" operator="notBetween" stopIfTrue="1">
      <formula>$K$211</formula>
      <formula>$K$212</formula>
    </cfRule>
  </conditionalFormatting>
  <conditionalFormatting sqref="D214">
    <cfRule type="cellIs" priority="4" dxfId="0" operator="notBetween" stopIfTrue="1">
      <formula>$D$211</formula>
      <formula>$D$212</formula>
    </cfRule>
  </conditionalFormatting>
  <conditionalFormatting sqref="E214">
    <cfRule type="cellIs" priority="5" dxfId="0" operator="notBetween" stopIfTrue="1">
      <formula>$E$211</formula>
      <formula>$E$212</formula>
    </cfRule>
  </conditionalFormatting>
  <conditionalFormatting sqref="F214">
    <cfRule type="cellIs" priority="6" dxfId="0" operator="notBetween" stopIfTrue="1">
      <formula>$F$211</formula>
      <formula>$F$212</formula>
    </cfRule>
  </conditionalFormatting>
  <conditionalFormatting sqref="G214">
    <cfRule type="cellIs" priority="7" dxfId="0" operator="notBetween" stopIfTrue="1">
      <formula>$G$211</formula>
      <formula>$G$212</formula>
    </cfRule>
  </conditionalFormatting>
  <conditionalFormatting sqref="E166">
    <cfRule type="cellIs" priority="8" dxfId="0" operator="notBetween" stopIfTrue="1">
      <formula>2.5</formula>
      <formula>3.5</formula>
    </cfRule>
  </conditionalFormatting>
  <conditionalFormatting sqref="H214">
    <cfRule type="cellIs" priority="9" dxfId="0" operator="notBetween" stopIfTrue="1">
      <formula>$H$211</formula>
      <formula>$H$212</formula>
    </cfRule>
  </conditionalFormatting>
  <conditionalFormatting sqref="I214">
    <cfRule type="cellIs" priority="10" dxfId="0" operator="notBetween" stopIfTrue="1">
      <formula>$I$211</formula>
      <formula>$I$212</formula>
    </cfRule>
  </conditionalFormatting>
  <conditionalFormatting sqref="J214">
    <cfRule type="cellIs" priority="11" dxfId="0" operator="notBetween" stopIfTrue="1">
      <formula>$J$211</formula>
      <formula>$J$212</formula>
    </cfRule>
  </conditionalFormatting>
  <conditionalFormatting sqref="F47">
    <cfRule type="cellIs" priority="12" dxfId="0" operator="notBetween" stopIfTrue="1">
      <formula>4</formula>
      <formula>8</formula>
    </cfRule>
  </conditionalFormatting>
  <conditionalFormatting sqref="E85 K12">
    <cfRule type="cellIs" priority="13" dxfId="0" operator="notBetween" stopIfTrue="1">
      <formula>2</formula>
      <formula>3.5</formula>
    </cfRule>
  </conditionalFormatting>
  <printOptions/>
  <pageMargins left="0.75" right="0.75" top="1" bottom="1" header="0.5" footer="0.5"/>
  <pageSetup fitToHeight="4" fitToWidth="1" horizontalDpi="300" verticalDpi="3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ЗГИА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Курсовая работа по ТиТЭСПП</dc:title>
  <dc:subject>Разработка технологии выплавки электростали</dc:subject>
  <dc:creator>Смирнов Александр Олегович</dc:creator>
  <cp:keywords/>
  <dc:description/>
  <cp:lastModifiedBy>N148</cp:lastModifiedBy>
  <cp:lastPrinted>2004-10-20T12:20:52Z</cp:lastPrinted>
  <dcterms:created xsi:type="dcterms:W3CDTF">2002-09-20T08:01:32Z</dcterms:created>
  <dcterms:modified xsi:type="dcterms:W3CDTF">2011-04-25T22:03:50Z</dcterms:modified>
  <cp:category/>
  <cp:version/>
  <cp:contentType/>
  <cp:contentStatus/>
</cp:coreProperties>
</file>