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748" activeTab="2"/>
  </bookViews>
  <sheets>
    <sheet name="Параметри" sheetId="3" r:id="rId1"/>
    <sheet name="Довідник" sheetId="2" r:id="rId2"/>
    <sheet name="Модель" sheetId="1" r:id="rId3"/>
    <sheet name="Амортизація" sheetId="4" r:id="rId4"/>
  </sheets>
  <externalReferences>
    <externalReference r:id="rId5"/>
    <externalReference r:id="rId6"/>
  </externalReferences>
  <definedNames>
    <definedName name="ЄСВ">Довідник!$B$3</definedName>
    <definedName name="ОплатаВІдстр">[1]Параметри!$A$12</definedName>
    <definedName name="ОплатаПоточн">[1]Параметри!$A$11</definedName>
    <definedName name="П_прибуток">Довідник!$B$4</definedName>
    <definedName name="ПДВ">Довідник!$B$2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9" i="1" l="1"/>
  <c r="H209" i="1" s="1"/>
  <c r="H94" i="1" l="1"/>
  <c r="H419" i="1"/>
  <c r="H420" i="1"/>
  <c r="H422" i="1"/>
  <c r="H423" i="1"/>
  <c r="H430" i="1"/>
  <c r="H431" i="1"/>
  <c r="H432" i="1"/>
  <c r="H433" i="1"/>
  <c r="H403" i="1"/>
  <c r="H404" i="1"/>
  <c r="E275" i="1"/>
  <c r="F275" i="1"/>
  <c r="G275" i="1"/>
  <c r="D275" i="1"/>
  <c r="E282" i="1"/>
  <c r="F282" i="1"/>
  <c r="G282" i="1"/>
  <c r="D282" i="1"/>
  <c r="D227" i="1"/>
  <c r="C391" i="1"/>
  <c r="D429" i="1" s="1"/>
  <c r="I243" i="1"/>
  <c r="I242" i="1"/>
  <c r="E335" i="1" l="1"/>
  <c r="E336" i="1" s="1"/>
  <c r="F335" i="1"/>
  <c r="E346" i="1" s="1"/>
  <c r="G335" i="1"/>
  <c r="G336" i="1" s="1"/>
  <c r="D335" i="1"/>
  <c r="D336" i="1" s="1"/>
  <c r="E338" i="1"/>
  <c r="E370" i="1" s="1"/>
  <c r="F338" i="1"/>
  <c r="F370" i="1" s="1"/>
  <c r="G338" i="1"/>
  <c r="G370" i="1" s="1"/>
  <c r="D338" i="1"/>
  <c r="D370" i="1" s="1"/>
  <c r="E240" i="1"/>
  <c r="F240" i="1"/>
  <c r="G240" i="1"/>
  <c r="D240" i="1"/>
  <c r="A217" i="1"/>
  <c r="D238" i="1" s="1"/>
  <c r="H262" i="1"/>
  <c r="D236" i="1"/>
  <c r="E236" i="1"/>
  <c r="E237" i="1" s="1"/>
  <c r="D256" i="1" s="1"/>
  <c r="F236" i="1"/>
  <c r="F237" i="1" s="1"/>
  <c r="E256" i="1" s="1"/>
  <c r="G236" i="1"/>
  <c r="G237" i="1" s="1"/>
  <c r="F256" i="1" s="1"/>
  <c r="D232" i="1"/>
  <c r="E232" i="1"/>
  <c r="F232" i="1"/>
  <c r="G232" i="1"/>
  <c r="E227" i="1"/>
  <c r="F227" i="1"/>
  <c r="G227" i="1"/>
  <c r="H193" i="1"/>
  <c r="C199" i="1"/>
  <c r="D426" i="1" s="1"/>
  <c r="E141" i="1"/>
  <c r="F141" i="1"/>
  <c r="G141" i="1"/>
  <c r="E142" i="1"/>
  <c r="F142" i="1"/>
  <c r="G142" i="1"/>
  <c r="D142" i="1"/>
  <c r="D141" i="1"/>
  <c r="E136" i="1"/>
  <c r="F136" i="1"/>
  <c r="G136" i="1"/>
  <c r="E137" i="1"/>
  <c r="F137" i="1"/>
  <c r="G137" i="1"/>
  <c r="D137" i="1"/>
  <c r="D136" i="1"/>
  <c r="D28" i="1"/>
  <c r="E28" i="1" s="1"/>
  <c r="F28" i="1" s="1"/>
  <c r="G28" i="1" s="1"/>
  <c r="G181" i="1" s="1"/>
  <c r="D27" i="1"/>
  <c r="E27" i="1" s="1"/>
  <c r="H352" i="1"/>
  <c r="A326" i="1"/>
  <c r="G337" i="1" s="1"/>
  <c r="G326" i="1"/>
  <c r="F346" i="1" l="1"/>
  <c r="E368" i="1"/>
  <c r="D258" i="1"/>
  <c r="H370" i="1"/>
  <c r="D237" i="1"/>
  <c r="H236" i="1"/>
  <c r="G368" i="1"/>
  <c r="F258" i="1"/>
  <c r="D368" i="1"/>
  <c r="H240" i="1"/>
  <c r="C258" i="1"/>
  <c r="F368" i="1"/>
  <c r="E258" i="1"/>
  <c r="F336" i="1"/>
  <c r="E347" i="1" s="1"/>
  <c r="E337" i="1"/>
  <c r="E339" i="1" s="1"/>
  <c r="F337" i="1"/>
  <c r="H335" i="1"/>
  <c r="H338" i="1"/>
  <c r="D346" i="1"/>
  <c r="D337" i="1"/>
  <c r="C347" i="1"/>
  <c r="G339" i="1"/>
  <c r="F347" i="1"/>
  <c r="D143" i="1"/>
  <c r="D283" i="1" s="1"/>
  <c r="D65" i="1"/>
  <c r="E143" i="1"/>
  <c r="E283" i="1" s="1"/>
  <c r="G238" i="1"/>
  <c r="F238" i="1"/>
  <c r="E238" i="1"/>
  <c r="F143" i="1"/>
  <c r="F283" i="1" s="1"/>
  <c r="F255" i="1"/>
  <c r="E255" i="1"/>
  <c r="C255" i="1"/>
  <c r="D255" i="1"/>
  <c r="G143" i="1"/>
  <c r="E181" i="1"/>
  <c r="F138" i="1"/>
  <c r="F276" i="1" s="1"/>
  <c r="G138" i="1"/>
  <c r="G276" i="1" s="1"/>
  <c r="D181" i="1"/>
  <c r="D138" i="1"/>
  <c r="F181" i="1"/>
  <c r="E138" i="1"/>
  <c r="E276" i="1" s="1"/>
  <c r="E29" i="1"/>
  <c r="E65" i="1"/>
  <c r="E67" i="1" s="1"/>
  <c r="F66" i="1" s="1"/>
  <c r="F27" i="1"/>
  <c r="G27" i="1" s="1"/>
  <c r="H27" i="1" s="1"/>
  <c r="H28" i="1"/>
  <c r="D29" i="1"/>
  <c r="D347" i="1"/>
  <c r="C346" i="1"/>
  <c r="N236" i="1"/>
  <c r="N237" i="1"/>
  <c r="N238" i="1"/>
  <c r="N239" i="1"/>
  <c r="H238" i="1" l="1"/>
  <c r="H181" i="1"/>
  <c r="H258" i="1"/>
  <c r="D67" i="1"/>
  <c r="D68" i="1" s="1"/>
  <c r="D179" i="1" s="1"/>
  <c r="C256" i="1"/>
  <c r="D263" i="1" s="1"/>
  <c r="H237" i="1"/>
  <c r="D369" i="1"/>
  <c r="H368" i="1"/>
  <c r="F339" i="1"/>
  <c r="D180" i="1"/>
  <c r="D339" i="1"/>
  <c r="D144" i="1"/>
  <c r="D231" i="1"/>
  <c r="E180" i="1"/>
  <c r="E182" i="1" s="1"/>
  <c r="E284" i="1" s="1"/>
  <c r="E264" i="1"/>
  <c r="F180" i="1"/>
  <c r="F182" i="1" s="1"/>
  <c r="F284" i="1" s="1"/>
  <c r="G266" i="1"/>
  <c r="F265" i="1"/>
  <c r="D174" i="1"/>
  <c r="D276" i="1"/>
  <c r="H255" i="1"/>
  <c r="G180" i="1"/>
  <c r="G182" i="1" s="1"/>
  <c r="G284" i="1" s="1"/>
  <c r="G283" i="1"/>
  <c r="F65" i="1"/>
  <c r="F67" i="1" s="1"/>
  <c r="G66" i="1" s="1"/>
  <c r="G65" i="1"/>
  <c r="G67" i="1" s="1"/>
  <c r="F174" i="1"/>
  <c r="G174" i="1"/>
  <c r="G29" i="1"/>
  <c r="E174" i="1"/>
  <c r="F29" i="1"/>
  <c r="H347" i="1"/>
  <c r="H346" i="1"/>
  <c r="A218" i="1"/>
  <c r="D24" i="1"/>
  <c r="D175" i="1" s="1"/>
  <c r="D23" i="1"/>
  <c r="G218" i="1"/>
  <c r="G217" i="1"/>
  <c r="H339" i="1" l="1"/>
  <c r="D182" i="1"/>
  <c r="H182" i="1" s="1"/>
  <c r="H180" i="1"/>
  <c r="H256" i="1"/>
  <c r="D246" i="1"/>
  <c r="D95" i="1"/>
  <c r="H65" i="1"/>
  <c r="H174" i="1"/>
  <c r="E66" i="1"/>
  <c r="E68" i="1" s="1"/>
  <c r="E231" i="1" s="1"/>
  <c r="G268" i="1"/>
  <c r="D239" i="1"/>
  <c r="E239" i="1"/>
  <c r="F239" i="1"/>
  <c r="G239" i="1"/>
  <c r="H29" i="1"/>
  <c r="G68" i="1"/>
  <c r="D176" i="1"/>
  <c r="E23" i="1"/>
  <c r="D60" i="1"/>
  <c r="D25" i="1"/>
  <c r="E24" i="1"/>
  <c r="F68" i="1"/>
  <c r="H239" i="1" l="1"/>
  <c r="H68" i="1"/>
  <c r="E95" i="1"/>
  <c r="E97" i="1" s="1"/>
  <c r="E246" i="1"/>
  <c r="D284" i="1"/>
  <c r="D97" i="1"/>
  <c r="D98" i="1" s="1"/>
  <c r="D183" i="1"/>
  <c r="E179" i="1"/>
  <c r="D277" i="1"/>
  <c r="E144" i="1"/>
  <c r="G241" i="1"/>
  <c r="F241" i="1"/>
  <c r="D241" i="1"/>
  <c r="E241" i="1"/>
  <c r="F24" i="1"/>
  <c r="E175" i="1"/>
  <c r="F95" i="1"/>
  <c r="F97" i="1" s="1"/>
  <c r="F231" i="1"/>
  <c r="F246" i="1" s="1"/>
  <c r="F179" i="1"/>
  <c r="F183" i="1" s="1"/>
  <c r="F144" i="1"/>
  <c r="G95" i="1"/>
  <c r="G97" i="1" s="1"/>
  <c r="G100" i="1" s="1"/>
  <c r="G231" i="1"/>
  <c r="G246" i="1" s="1"/>
  <c r="G179" i="1"/>
  <c r="G183" i="1" s="1"/>
  <c r="G144" i="1"/>
  <c r="D30" i="1"/>
  <c r="D62" i="1"/>
  <c r="E61" i="1" s="1"/>
  <c r="F23" i="1"/>
  <c r="E25" i="1"/>
  <c r="E30" i="1" s="1"/>
  <c r="E60" i="1"/>
  <c r="E62" i="1" s="1"/>
  <c r="F61" i="1" s="1"/>
  <c r="H231" i="1" l="1"/>
  <c r="H246" i="1"/>
  <c r="H241" i="1"/>
  <c r="E183" i="1"/>
  <c r="H183" i="1" s="1"/>
  <c r="H179" i="1"/>
  <c r="D99" i="1"/>
  <c r="E176" i="1"/>
  <c r="E96" i="1"/>
  <c r="E98" i="1" s="1"/>
  <c r="E99" i="1" s="1"/>
  <c r="D100" i="1"/>
  <c r="H95" i="1"/>
  <c r="F96" i="1"/>
  <c r="F98" i="1" s="1"/>
  <c r="F99" i="1" s="1"/>
  <c r="E100" i="1"/>
  <c r="G96" i="1"/>
  <c r="G98" i="1" s="1"/>
  <c r="G99" i="1" s="1"/>
  <c r="F100" i="1"/>
  <c r="E398" i="1"/>
  <c r="E364" i="1"/>
  <c r="E365" i="1" s="1"/>
  <c r="D364" i="1"/>
  <c r="D398" i="1"/>
  <c r="D35" i="1"/>
  <c r="D43" i="1" s="1"/>
  <c r="E340" i="1"/>
  <c r="E371" i="1" s="1"/>
  <c r="C35" i="1"/>
  <c r="D42" i="1" s="1"/>
  <c r="D340" i="1"/>
  <c r="D371" i="1" s="1"/>
  <c r="H144" i="1"/>
  <c r="G24" i="1"/>
  <c r="F175" i="1"/>
  <c r="F176" i="1" s="1"/>
  <c r="F277" i="1" s="1"/>
  <c r="G23" i="1"/>
  <c r="H23" i="1" s="1"/>
  <c r="H60" i="1" s="1"/>
  <c r="F60" i="1"/>
  <c r="F62" i="1" s="1"/>
  <c r="G61" i="1" s="1"/>
  <c r="F25" i="1"/>
  <c r="F30" i="1" s="1"/>
  <c r="E63" i="1"/>
  <c r="D63" i="1"/>
  <c r="H100" i="1" l="1"/>
  <c r="E277" i="1"/>
  <c r="H99" i="1"/>
  <c r="D139" i="1"/>
  <c r="D372" i="1"/>
  <c r="H98" i="1"/>
  <c r="D365" i="1"/>
  <c r="C42" i="1"/>
  <c r="H42" i="1" s="1"/>
  <c r="E43" i="1"/>
  <c r="H43" i="1" s="1"/>
  <c r="F364" i="1"/>
  <c r="F365" i="1" s="1"/>
  <c r="F398" i="1"/>
  <c r="E369" i="1"/>
  <c r="E372" i="1"/>
  <c r="E35" i="1"/>
  <c r="F44" i="1" s="1"/>
  <c r="F340" i="1"/>
  <c r="F371" i="1" s="1"/>
  <c r="C348" i="1"/>
  <c r="D341" i="1"/>
  <c r="D401" i="1" s="1"/>
  <c r="E341" i="1"/>
  <c r="E401" i="1" s="1"/>
  <c r="D348" i="1"/>
  <c r="D88" i="1"/>
  <c r="D173" i="1"/>
  <c r="D226" i="1"/>
  <c r="F63" i="1"/>
  <c r="G175" i="1"/>
  <c r="G176" i="1" s="1"/>
  <c r="G277" i="1" s="1"/>
  <c r="H24" i="1"/>
  <c r="E88" i="1"/>
  <c r="E90" i="1" s="1"/>
  <c r="E93" i="1" s="1"/>
  <c r="E102" i="1" s="1"/>
  <c r="E226" i="1"/>
  <c r="E245" i="1" s="1"/>
  <c r="E244" i="1" s="1"/>
  <c r="D257" i="1" s="1"/>
  <c r="E173" i="1"/>
  <c r="E139" i="1"/>
  <c r="E145" i="1" s="1"/>
  <c r="D149" i="1" s="1"/>
  <c r="D47" i="1"/>
  <c r="E418" i="1" s="1"/>
  <c r="E421" i="1" s="1"/>
  <c r="G60" i="1"/>
  <c r="G62" i="1" s="1"/>
  <c r="G25" i="1"/>
  <c r="C189" i="1" l="1"/>
  <c r="D90" i="1"/>
  <c r="D93" i="1" s="1"/>
  <c r="H176" i="1"/>
  <c r="D245" i="1"/>
  <c r="D254" i="1"/>
  <c r="D264" i="1"/>
  <c r="H175" i="1"/>
  <c r="C47" i="1"/>
  <c r="D418" i="1" s="1"/>
  <c r="F89" i="1"/>
  <c r="C353" i="1"/>
  <c r="D353" i="1"/>
  <c r="F369" i="1"/>
  <c r="F372" i="1"/>
  <c r="E44" i="1"/>
  <c r="E47" i="1" s="1"/>
  <c r="F418" i="1" s="1"/>
  <c r="F421" i="1" s="1"/>
  <c r="D345" i="1"/>
  <c r="D354" i="1"/>
  <c r="E354" i="1"/>
  <c r="C345" i="1"/>
  <c r="E348" i="1"/>
  <c r="F341" i="1"/>
  <c r="F401" i="1" s="1"/>
  <c r="D177" i="1"/>
  <c r="G63" i="1"/>
  <c r="H63" i="1" s="1"/>
  <c r="F88" i="1"/>
  <c r="F90" i="1" s="1"/>
  <c r="F93" i="1" s="1"/>
  <c r="F102" i="1" s="1"/>
  <c r="F173" i="1"/>
  <c r="F226" i="1"/>
  <c r="F245" i="1" s="1"/>
  <c r="F244" i="1" s="1"/>
  <c r="E257" i="1" s="1"/>
  <c r="F139" i="1"/>
  <c r="F145" i="1" s="1"/>
  <c r="E149" i="1" s="1"/>
  <c r="E155" i="1"/>
  <c r="D155" i="1"/>
  <c r="D189" i="1"/>
  <c r="E177" i="1"/>
  <c r="E184" i="1" s="1"/>
  <c r="D188" i="1" s="1"/>
  <c r="D145" i="1"/>
  <c r="G30" i="1"/>
  <c r="H25" i="1"/>
  <c r="H30" i="1" s="1"/>
  <c r="D91" i="1" l="1"/>
  <c r="D92" i="1" s="1"/>
  <c r="D101" i="1" s="1"/>
  <c r="D102" i="1"/>
  <c r="D184" i="1"/>
  <c r="E254" i="1"/>
  <c r="E265" i="1"/>
  <c r="D244" i="1"/>
  <c r="D421" i="1"/>
  <c r="E89" i="1"/>
  <c r="E91" i="1" s="1"/>
  <c r="E92" i="1" s="1"/>
  <c r="E101" i="1" s="1"/>
  <c r="F91" i="1"/>
  <c r="F92" i="1" s="1"/>
  <c r="F101" i="1" s="1"/>
  <c r="H44" i="1"/>
  <c r="C39" i="1"/>
  <c r="D37" i="1" s="1"/>
  <c r="D39" i="1" s="1"/>
  <c r="G89" i="1"/>
  <c r="H354" i="1"/>
  <c r="D358" i="1"/>
  <c r="E428" i="1" s="1"/>
  <c r="E345" i="1"/>
  <c r="E355" i="1"/>
  <c r="E358" i="1" s="1"/>
  <c r="F428" i="1" s="1"/>
  <c r="F355" i="1"/>
  <c r="G364" i="1"/>
  <c r="G398" i="1"/>
  <c r="H398" i="1" s="1"/>
  <c r="C358" i="1"/>
  <c r="H353" i="1"/>
  <c r="F35" i="1"/>
  <c r="G45" i="1" s="1"/>
  <c r="G47" i="1" s="1"/>
  <c r="G340" i="1"/>
  <c r="G371" i="1" s="1"/>
  <c r="H371" i="1" s="1"/>
  <c r="H155" i="1"/>
  <c r="C191" i="1"/>
  <c r="D190" i="1" s="1"/>
  <c r="D194" i="1"/>
  <c r="E195" i="1"/>
  <c r="F156" i="1"/>
  <c r="E156" i="1"/>
  <c r="E159" i="1" s="1"/>
  <c r="F425" i="1" s="1"/>
  <c r="G88" i="1"/>
  <c r="G173" i="1"/>
  <c r="H173" i="1" s="1"/>
  <c r="G226" i="1"/>
  <c r="G245" i="1" s="1"/>
  <c r="G244" i="1" s="1"/>
  <c r="F257" i="1" s="1"/>
  <c r="G139" i="1"/>
  <c r="C149" i="1"/>
  <c r="E189" i="1"/>
  <c r="F177" i="1"/>
  <c r="F184" i="1" s="1"/>
  <c r="E188" i="1" s="1"/>
  <c r="H226" i="1" l="1"/>
  <c r="D242" i="1"/>
  <c r="D228" i="1" s="1"/>
  <c r="D229" i="1" s="1"/>
  <c r="E242" i="1"/>
  <c r="E248" i="1" s="1"/>
  <c r="H245" i="1"/>
  <c r="C188" i="1"/>
  <c r="H244" i="1"/>
  <c r="C257" i="1"/>
  <c r="G365" i="1"/>
  <c r="H365" i="1" s="1"/>
  <c r="H364" i="1"/>
  <c r="F266" i="1"/>
  <c r="F254" i="1"/>
  <c r="G90" i="1"/>
  <c r="G93" i="1" s="1"/>
  <c r="H88" i="1"/>
  <c r="C154" i="1"/>
  <c r="F242" i="1"/>
  <c r="F248" i="1" s="1"/>
  <c r="F45" i="1"/>
  <c r="H45" i="1" s="1"/>
  <c r="H46" i="1" s="1"/>
  <c r="H35" i="1"/>
  <c r="E37" i="1"/>
  <c r="E39" i="1" s="1"/>
  <c r="C350" i="1"/>
  <c r="D349" i="1" s="1"/>
  <c r="D350" i="1" s="1"/>
  <c r="E349" i="1" s="1"/>
  <c r="E350" i="1" s="1"/>
  <c r="F349" i="1" s="1"/>
  <c r="D428" i="1"/>
  <c r="E107" i="1"/>
  <c r="F366" i="1"/>
  <c r="F367" i="1" s="1"/>
  <c r="F373" i="1" s="1"/>
  <c r="E380" i="1" s="1"/>
  <c r="F243" i="1"/>
  <c r="H355" i="1"/>
  <c r="G369" i="1"/>
  <c r="H369" i="1" s="1"/>
  <c r="G372" i="1"/>
  <c r="D107" i="1"/>
  <c r="E366" i="1"/>
  <c r="E367" i="1" s="1"/>
  <c r="E373" i="1" s="1"/>
  <c r="D380" i="1" s="1"/>
  <c r="E243" i="1"/>
  <c r="C107" i="1"/>
  <c r="D366" i="1"/>
  <c r="D243" i="1"/>
  <c r="F348" i="1"/>
  <c r="G341" i="1"/>
  <c r="H340" i="1"/>
  <c r="H156" i="1"/>
  <c r="D154" i="1"/>
  <c r="D159" i="1" s="1"/>
  <c r="E425" i="1" s="1"/>
  <c r="F196" i="1"/>
  <c r="G145" i="1"/>
  <c r="H139" i="1"/>
  <c r="F189" i="1"/>
  <c r="G177" i="1"/>
  <c r="G184" i="1" s="1"/>
  <c r="F188" i="1" s="1"/>
  <c r="H188" i="1" s="1"/>
  <c r="H194" i="1"/>
  <c r="D199" i="1"/>
  <c r="H195" i="1"/>
  <c r="E199" i="1"/>
  <c r="F426" i="1" s="1"/>
  <c r="F228" i="1" l="1"/>
  <c r="F229" i="1" s="1"/>
  <c r="F278" i="1" s="1"/>
  <c r="F279" i="1" s="1"/>
  <c r="F280" i="1" s="1"/>
  <c r="F296" i="1" s="1"/>
  <c r="D367" i="1"/>
  <c r="E228" i="1"/>
  <c r="E229" i="1" s="1"/>
  <c r="E278" i="1" s="1"/>
  <c r="E279" i="1" s="1"/>
  <c r="E298" i="1" s="1"/>
  <c r="F268" i="1"/>
  <c r="G427" i="1" s="1"/>
  <c r="H266" i="1"/>
  <c r="H177" i="1"/>
  <c r="G102" i="1"/>
  <c r="H93" i="1"/>
  <c r="H257" i="1"/>
  <c r="C263" i="1"/>
  <c r="C254" i="1"/>
  <c r="G91" i="1"/>
  <c r="H184" i="1"/>
  <c r="F47" i="1"/>
  <c r="H47" i="1" s="1"/>
  <c r="D278" i="1"/>
  <c r="D279" i="1" s="1"/>
  <c r="D309" i="1" s="1"/>
  <c r="D248" i="1"/>
  <c r="D191" i="1"/>
  <c r="E190" i="1" s="1"/>
  <c r="E191" i="1" s="1"/>
  <c r="F190" i="1" s="1"/>
  <c r="E426" i="1"/>
  <c r="F37" i="1"/>
  <c r="F233" i="1"/>
  <c r="F234" i="1" s="1"/>
  <c r="F285" i="1" s="1"/>
  <c r="F286" i="1" s="1"/>
  <c r="F249" i="1"/>
  <c r="F247" i="1" s="1"/>
  <c r="F289" i="1" s="1"/>
  <c r="E116" i="1"/>
  <c r="F116" i="1"/>
  <c r="E233" i="1"/>
  <c r="E234" i="1" s="1"/>
  <c r="E285" i="1" s="1"/>
  <c r="E286" i="1" s="1"/>
  <c r="E249" i="1"/>
  <c r="E247" i="1" s="1"/>
  <c r="E289" i="1" s="1"/>
  <c r="H341" i="1"/>
  <c r="G401" i="1"/>
  <c r="H401" i="1" s="1"/>
  <c r="F356" i="1"/>
  <c r="G356" i="1"/>
  <c r="G358" i="1" s="1"/>
  <c r="D233" i="1"/>
  <c r="D234" i="1" s="1"/>
  <c r="C114" i="1"/>
  <c r="D114" i="1"/>
  <c r="G418" i="1"/>
  <c r="E115" i="1"/>
  <c r="D115" i="1"/>
  <c r="F345" i="1"/>
  <c r="H348" i="1"/>
  <c r="F149" i="1"/>
  <c r="H149" i="1" s="1"/>
  <c r="H145" i="1"/>
  <c r="H196" i="1"/>
  <c r="F199" i="1"/>
  <c r="G426" i="1" s="1"/>
  <c r="C159" i="1"/>
  <c r="D425" i="1" s="1"/>
  <c r="H154" i="1"/>
  <c r="G197" i="1"/>
  <c r="H189" i="1"/>
  <c r="E280" i="1" l="1"/>
  <c r="E309" i="1"/>
  <c r="G421" i="1"/>
  <c r="H421" i="1" s="1"/>
  <c r="H418" i="1"/>
  <c r="C268" i="1"/>
  <c r="D427" i="1" s="1"/>
  <c r="H263" i="1"/>
  <c r="G92" i="1"/>
  <c r="H91" i="1"/>
  <c r="F39" i="1"/>
  <c r="D373" i="1"/>
  <c r="C380" i="1" s="1"/>
  <c r="H426" i="1"/>
  <c r="F309" i="1"/>
  <c r="F298" i="1"/>
  <c r="G297" i="1" s="1"/>
  <c r="D280" i="1"/>
  <c r="D296" i="1" s="1"/>
  <c r="D298" i="1"/>
  <c r="E297" i="1" s="1"/>
  <c r="D285" i="1"/>
  <c r="D286" i="1" s="1"/>
  <c r="D287" i="1" s="1"/>
  <c r="D301" i="1" s="1"/>
  <c r="D249" i="1"/>
  <c r="D119" i="1"/>
  <c r="E424" i="1" s="1"/>
  <c r="H356" i="1"/>
  <c r="H357" i="1" s="1"/>
  <c r="F358" i="1"/>
  <c r="H116" i="1"/>
  <c r="E296" i="1"/>
  <c r="E287" i="1"/>
  <c r="E301" i="1" s="1"/>
  <c r="E310" i="1"/>
  <c r="E303" i="1"/>
  <c r="F302" i="1" s="1"/>
  <c r="F303" i="1"/>
  <c r="F287" i="1"/>
  <c r="F310" i="1"/>
  <c r="C119" i="1"/>
  <c r="H114" i="1"/>
  <c r="H115" i="1"/>
  <c r="F297" i="1"/>
  <c r="E119" i="1"/>
  <c r="F424" i="1" s="1"/>
  <c r="F350" i="1"/>
  <c r="G349" i="1" s="1"/>
  <c r="H345" i="1"/>
  <c r="C151" i="1"/>
  <c r="D150" i="1" s="1"/>
  <c r="D151" i="1" s="1"/>
  <c r="E150" i="1" s="1"/>
  <c r="E151" i="1" s="1"/>
  <c r="F150" i="1" s="1"/>
  <c r="F191" i="1"/>
  <c r="G190" i="1" s="1"/>
  <c r="H197" i="1"/>
  <c r="H198" i="1" s="1"/>
  <c r="G199" i="1"/>
  <c r="H199" i="1" s="1"/>
  <c r="G157" i="1"/>
  <c r="G159" i="1" s="1"/>
  <c r="F157" i="1"/>
  <c r="E311" i="1" l="1"/>
  <c r="F311" i="1"/>
  <c r="H92" i="1"/>
  <c r="G101" i="1"/>
  <c r="G37" i="1"/>
  <c r="F299" i="1"/>
  <c r="D247" i="1"/>
  <c r="D310" i="1"/>
  <c r="D311" i="1" s="1"/>
  <c r="D299" i="1"/>
  <c r="D303" i="1"/>
  <c r="E302" i="1" s="1"/>
  <c r="E304" i="1" s="1"/>
  <c r="H358" i="1"/>
  <c r="G428" i="1"/>
  <c r="H428" i="1" s="1"/>
  <c r="E288" i="1"/>
  <c r="E306" i="1"/>
  <c r="D288" i="1"/>
  <c r="C111" i="1"/>
  <c r="D424" i="1"/>
  <c r="F301" i="1"/>
  <c r="F304" i="1" s="1"/>
  <c r="F288" i="1"/>
  <c r="G302" i="1"/>
  <c r="F306" i="1"/>
  <c r="E299" i="1"/>
  <c r="H157" i="1"/>
  <c r="H158" i="1" s="1"/>
  <c r="F159" i="1"/>
  <c r="F305" i="1" l="1"/>
  <c r="F399" i="1" s="1"/>
  <c r="F400" i="1" s="1"/>
  <c r="F402" i="1" s="1"/>
  <c r="F405" i="1" s="1"/>
  <c r="F406" i="1" s="1"/>
  <c r="D434" i="1"/>
  <c r="D435" i="1" s="1"/>
  <c r="E416" i="1" s="1"/>
  <c r="D289" i="1"/>
  <c r="G242" i="1"/>
  <c r="H101" i="1"/>
  <c r="G366" i="1"/>
  <c r="F107" i="1"/>
  <c r="G243" i="1"/>
  <c r="D306" i="1"/>
  <c r="D304" i="1"/>
  <c r="D305" i="1" s="1"/>
  <c r="H159" i="1"/>
  <c r="G425" i="1"/>
  <c r="H425" i="1" s="1"/>
  <c r="E305" i="1"/>
  <c r="E399" i="1" s="1"/>
  <c r="E400" i="1" s="1"/>
  <c r="E402" i="1" s="1"/>
  <c r="E405" i="1" s="1"/>
  <c r="E406" i="1" s="1"/>
  <c r="E374" i="1" s="1"/>
  <c r="D381" i="1" s="1"/>
  <c r="E387" i="1" s="1"/>
  <c r="H387" i="1" s="1"/>
  <c r="D109" i="1"/>
  <c r="D111" i="1" s="1"/>
  <c r="F151" i="1"/>
  <c r="G150" i="1" s="1"/>
  <c r="G233" i="1" l="1"/>
  <c r="G234" i="1" s="1"/>
  <c r="G285" i="1" s="1"/>
  <c r="G286" i="1" s="1"/>
  <c r="H243" i="1"/>
  <c r="G249" i="1"/>
  <c r="H249" i="1" s="1"/>
  <c r="G367" i="1"/>
  <c r="H366" i="1"/>
  <c r="H242" i="1"/>
  <c r="G228" i="1"/>
  <c r="G229" i="1" s="1"/>
  <c r="G278" i="1" s="1"/>
  <c r="G279" i="1" s="1"/>
  <c r="G248" i="1"/>
  <c r="G117" i="1"/>
  <c r="G119" i="1" s="1"/>
  <c r="H107" i="1"/>
  <c r="F117" i="1"/>
  <c r="D399" i="1"/>
  <c r="E391" i="1"/>
  <c r="F429" i="1" s="1"/>
  <c r="E375" i="1"/>
  <c r="F374" i="1"/>
  <c r="E381" i="1" s="1"/>
  <c r="E109" i="1"/>
  <c r="E111" i="1" s="1"/>
  <c r="E407" i="1"/>
  <c r="F407" i="1"/>
  <c r="D400" i="1" l="1"/>
  <c r="G280" i="1"/>
  <c r="G298" i="1"/>
  <c r="G309" i="1"/>
  <c r="G373" i="1"/>
  <c r="H367" i="1"/>
  <c r="F119" i="1"/>
  <c r="H117" i="1"/>
  <c r="H118" i="1" s="1"/>
  <c r="H248" i="1"/>
  <c r="G247" i="1"/>
  <c r="F388" i="1"/>
  <c r="H388" i="1" s="1"/>
  <c r="G310" i="1"/>
  <c r="G287" i="1"/>
  <c r="G301" i="1" s="1"/>
  <c r="G303" i="1"/>
  <c r="F375" i="1"/>
  <c r="F109" i="1"/>
  <c r="G304" i="1" l="1"/>
  <c r="F391" i="1"/>
  <c r="G429" i="1" s="1"/>
  <c r="F380" i="1"/>
  <c r="H373" i="1"/>
  <c r="G311" i="1"/>
  <c r="G296" i="1"/>
  <c r="G299" i="1" s="1"/>
  <c r="G288" i="1"/>
  <c r="F111" i="1"/>
  <c r="G109" i="1" s="1"/>
  <c r="G306" i="1"/>
  <c r="H247" i="1"/>
  <c r="G289" i="1"/>
  <c r="G424" i="1"/>
  <c r="H424" i="1" s="1"/>
  <c r="H119" i="1"/>
  <c r="D402" i="1"/>
  <c r="G305" i="1" l="1"/>
  <c r="G399" i="1" s="1"/>
  <c r="H399" i="1" s="1"/>
  <c r="G434" i="1"/>
  <c r="D405" i="1"/>
  <c r="H380" i="1"/>
  <c r="G400" i="1" l="1"/>
  <c r="G402" i="1" s="1"/>
  <c r="D406" i="1"/>
  <c r="H400" i="1" l="1"/>
  <c r="D374" i="1"/>
  <c r="G405" i="1"/>
  <c r="H402" i="1"/>
  <c r="D407" i="1"/>
  <c r="D408" i="1" l="1"/>
  <c r="G406" i="1"/>
  <c r="G407" i="1" s="1"/>
  <c r="H407" i="1" s="1"/>
  <c r="H405" i="1"/>
  <c r="D375" i="1"/>
  <c r="C381" i="1"/>
  <c r="D386" i="1" l="1"/>
  <c r="C383" i="1"/>
  <c r="G374" i="1"/>
  <c r="H406" i="1"/>
  <c r="E408" i="1"/>
  <c r="H254" i="1"/>
  <c r="C260" i="1"/>
  <c r="D259" i="1" s="1"/>
  <c r="F408" i="1" l="1"/>
  <c r="F381" i="1"/>
  <c r="G375" i="1"/>
  <c r="H375" i="1" s="1"/>
  <c r="H374" i="1"/>
  <c r="D382" i="1"/>
  <c r="D391" i="1"/>
  <c r="E429" i="1" s="1"/>
  <c r="H429" i="1" s="1"/>
  <c r="H386" i="1"/>
  <c r="G389" i="1" l="1"/>
  <c r="H381" i="1"/>
  <c r="D383" i="1"/>
  <c r="G408" i="1"/>
  <c r="D268" i="1"/>
  <c r="H264" i="1"/>
  <c r="E382" i="1" l="1"/>
  <c r="E383" i="1" s="1"/>
  <c r="H389" i="1"/>
  <c r="H390" i="1" s="1"/>
  <c r="G391" i="1"/>
  <c r="H391" i="1" s="1"/>
  <c r="E427" i="1"/>
  <c r="D260" i="1"/>
  <c r="E434" i="1" l="1"/>
  <c r="E435" i="1" s="1"/>
  <c r="F416" i="1" s="1"/>
  <c r="F382" i="1"/>
  <c r="F383" i="1" s="1"/>
  <c r="E259" i="1"/>
  <c r="H265" i="1" l="1"/>
  <c r="H267" i="1" s="1"/>
  <c r="E268" i="1"/>
  <c r="H268" i="1" s="1"/>
  <c r="E260" i="1"/>
  <c r="F259" i="1" s="1"/>
  <c r="F260" i="1" s="1"/>
  <c r="G259" i="1" l="1"/>
  <c r="F427" i="1"/>
  <c r="F434" i="1" l="1"/>
  <c r="H427" i="1"/>
  <c r="F435" i="1"/>
  <c r="G416" i="1" s="1"/>
  <c r="G435" i="1" s="1"/>
  <c r="H434" i="1"/>
</calcChain>
</file>

<file path=xl/sharedStrings.xml><?xml version="1.0" encoding="utf-8"?>
<sst xmlns="http://schemas.openxmlformats.org/spreadsheetml/2006/main" count="729" uniqueCount="321">
  <si>
    <t xml:space="preserve">На  підставі  поданих  даних  розробити  бюджети,  спрогнозувати  фінансові  результати  та  фінансовий  стан </t>
  </si>
  <si>
    <t>підприємства на наступний рік.</t>
  </si>
  <si>
    <t>Вихідні данні та таблиці для розрахунків:</t>
  </si>
  <si>
    <t>Етап - 1.</t>
  </si>
  <si>
    <t>На підставі умов оплати за продукцію та даних таблиці № 1  розрахувати ПРОГНОЗНИЙ БЮДЖЕТ РЕАЛІЗАЦІЇ НА ПЛАНОВИЙ РІК</t>
  </si>
  <si>
    <t xml:space="preserve">Оплата споживачів за реалізовану продукцію здійснюється на умовах: 70% - у кварталі реалізації, 30% - у наступному кварталі. </t>
  </si>
  <si>
    <t>початковий обсяг реалізації продукції А (одиниць);</t>
  </si>
  <si>
    <t>початковий обсяг реалізації продукції В (одиниць);</t>
  </si>
  <si>
    <t>початкова ціна продукції А, без ПДВ (грн.);</t>
  </si>
  <si>
    <t>початкова ціна продукції В, без ПДВ (грн.);</t>
  </si>
  <si>
    <t>оплата за фактом відвантаження;</t>
  </si>
  <si>
    <t>відстрочення в оплаті (у наступному кварталі);</t>
  </si>
  <si>
    <t xml:space="preserve">                              ПРОГНОЗНИЙ  БЮДЖЕТ  РЕАЛІЗАЦІЇ  НА ПЛАНОВИЙ РІК</t>
  </si>
  <si>
    <t>ПОКАЗНИКИ</t>
  </si>
  <si>
    <t>Один.</t>
  </si>
  <si>
    <t>ПЛАНОВИЙ РІК</t>
  </si>
  <si>
    <t>Всього</t>
  </si>
  <si>
    <t>виміру</t>
  </si>
  <si>
    <t>1-й кв.</t>
  </si>
  <si>
    <t>2-й кв.</t>
  </si>
  <si>
    <t>3-й кв.</t>
  </si>
  <si>
    <t>4-й кв.</t>
  </si>
  <si>
    <t>за період</t>
  </si>
  <si>
    <t>Продукція А</t>
  </si>
  <si>
    <t>Обсяг реалізації (шт)</t>
  </si>
  <si>
    <t>Ціна реалізації (грн)</t>
  </si>
  <si>
    <t>Чистий дохід (грн)</t>
  </si>
  <si>
    <t>Продукція В</t>
  </si>
  <si>
    <t>грн</t>
  </si>
  <si>
    <t>шт</t>
  </si>
  <si>
    <t>Загальний чистий дохід</t>
  </si>
  <si>
    <t>Графік надходження грошових коштів</t>
  </si>
  <si>
    <t>НАСТУПНИЙ</t>
  </si>
  <si>
    <t>продукції за період</t>
  </si>
  <si>
    <t>Х</t>
  </si>
  <si>
    <t>Дебіторська заборгованість</t>
  </si>
  <si>
    <t>на початок періоду</t>
  </si>
  <si>
    <t>на кінець періоду</t>
  </si>
  <si>
    <t>Надходження від реалізації (грн.)</t>
  </si>
  <si>
    <t>за 4-й квартал попередн. р.</t>
  </si>
  <si>
    <t>за 1-й квартал планового р.</t>
  </si>
  <si>
    <t>за 2-й квартал планового р.</t>
  </si>
  <si>
    <t>за 3-й квартал планового р.</t>
  </si>
  <si>
    <t>за 4-й квартал планового р.</t>
  </si>
  <si>
    <t>Загальна сума</t>
  </si>
  <si>
    <t>надходжень</t>
  </si>
  <si>
    <t>Виручка від реалізації</t>
  </si>
  <si>
    <t>Етап - 2.</t>
  </si>
  <si>
    <t>На підставі попередніх розрахунків та даних таблиці № 2  розрахувати БЮДЖЕТ ВИРОБНИЦТВА ТА ЗАПАСІВ ГОТОВОЇ ПРОДУКЦІЇ</t>
  </si>
  <si>
    <t>НА ПЛАНОВИЙ РІК.</t>
  </si>
  <si>
    <t>Планується норматив запасів на кінець періоду в розмірі _____% від очікуваного обсягу реалізації даного періоду.</t>
  </si>
  <si>
    <t>норматив запасів ГП на кінець періоду за продукцією А (% від обсягу реалізації звітного періоду); НормЗГПА</t>
  </si>
  <si>
    <t>норматив запасів ГП на кінець періоду за продукцією В (% від обсягу реалізації звітного періоду); НормЗГПВ</t>
  </si>
  <si>
    <t xml:space="preserve">        БЮДЖЕТ ВИРОБНИЦТВА ТА ЗАПАСІВ ГОТОВОЇ ПРОДУКЦІЇ НА ПЛАНОВИЙ РІК</t>
  </si>
  <si>
    <t xml:space="preserve">Очікуваний обсяг реалізації </t>
  </si>
  <si>
    <t>Запаси ГП на початок періоду</t>
  </si>
  <si>
    <t>Запаси ГП  на кінець періоду</t>
  </si>
  <si>
    <t>Обсяг виробництва</t>
  </si>
  <si>
    <t>Етап - 3.</t>
  </si>
  <si>
    <t>На підставі попередніх розрахунків та даних таблиці № 3 розрахувати БЮДЖЕТ МАТЕРІАЛІВ НА ПЛАНОВИЙ РІК.</t>
  </si>
  <si>
    <t xml:space="preserve">Планується норматив запасів матеріалів на кінець кожного періоду в розмірі ______% від очікуваного його обсягу використання в </t>
  </si>
  <si>
    <t>даному періоді.  Норматив запасів продукції на початок та кінець 4-го кварталу однаковий.</t>
  </si>
  <si>
    <t xml:space="preserve">Оплата постачальникам за придбані матеріали здійснюється на умовах: 60% - у кварталі придбання, 40% - у наступному кварталі. </t>
  </si>
  <si>
    <r>
      <t xml:space="preserve">норматив запасів матеріалів на кінець періоду за продукцією </t>
    </r>
    <r>
      <rPr>
        <b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 xml:space="preserve"> (% від обсягу використання в звітному періоді);</t>
    </r>
  </si>
  <si>
    <r>
      <t xml:space="preserve">норматив запасів матеріалів на кінець періоду за продукцією </t>
    </r>
    <r>
      <rPr>
        <b/>
        <sz val="12"/>
        <rFont val="Times New Roman"/>
        <family val="1"/>
        <charset val="204"/>
      </rPr>
      <t>В</t>
    </r>
    <r>
      <rPr>
        <sz val="12"/>
        <rFont val="Times New Roman"/>
        <family val="1"/>
        <charset val="204"/>
      </rPr>
      <t xml:space="preserve"> (% від обсягу використання в звітному періоді);</t>
    </r>
  </si>
  <si>
    <t>БЮДЖЕТ МАТЕРІАЛІВ НА ПЛАНОВИЙ ПЕРІОД</t>
  </si>
  <si>
    <t xml:space="preserve">       ПЛАНОВИЙ РІК</t>
  </si>
  <si>
    <r>
      <t xml:space="preserve">вартість одиниці матеріалу, без ПДВ - </t>
    </r>
    <r>
      <rPr>
        <b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>;</t>
    </r>
  </si>
  <si>
    <r>
      <t xml:space="preserve">вартість одиниці матеріалу, без ПДВ - </t>
    </r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>;</t>
    </r>
  </si>
  <si>
    <r>
      <t xml:space="preserve">кількість одиниць матеріалу </t>
    </r>
    <r>
      <rPr>
        <b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 xml:space="preserve"> для виробництва одиниці продукції;</t>
    </r>
  </si>
  <si>
    <r>
      <t xml:space="preserve">кількість одиниць матеріалу </t>
    </r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 xml:space="preserve"> для виробництва одиниці продукції;</t>
    </r>
  </si>
  <si>
    <t>Запаси матеріалів на початок періоду</t>
  </si>
  <si>
    <t>Запаси матеріалів на кінець періоду</t>
  </si>
  <si>
    <t>Обсяг придбання матеріалів,шт</t>
  </si>
  <si>
    <t>Обсяг матеріалів у всій продукції , шт</t>
  </si>
  <si>
    <t>змінні витрати</t>
  </si>
  <si>
    <t>Графік оплати придбаних матеріалів</t>
  </si>
  <si>
    <t xml:space="preserve">         ПЛАНОВИЙ РІК</t>
  </si>
  <si>
    <t>Придбано</t>
  </si>
  <si>
    <t>матеріалів за період (З ПДВ)</t>
  </si>
  <si>
    <t>Кредиторська заборгованість</t>
  </si>
  <si>
    <t>Оплата за матеріали (грн.)</t>
  </si>
  <si>
    <t>оплати (грн.)</t>
  </si>
  <si>
    <t>Етап - 4.</t>
  </si>
  <si>
    <t>На підставі попередніх розрахунків та даних таблиці № 4  розрахувати БЮДЖЕТ ВИТРАТ НА ОПЛАТУ ПРАЦІ ВИРОБНИЧОГО</t>
  </si>
  <si>
    <t>ПЕРСОНАЛУ НА ПЛАНОВИЙ РІК.</t>
  </si>
  <si>
    <t>Виплата заробітної плати здійснюється: 60% - кожного 15 числа поточного місяця, 40% - кожного 01 числа наступного місяця.</t>
  </si>
  <si>
    <t>норма витрат праці на виготовлення одиниці продукції А, год</t>
  </si>
  <si>
    <t>норма витрат праці на виготовлення одиниці продукції В, год</t>
  </si>
  <si>
    <t>таріфна ставка за годину праці, грн/год</t>
  </si>
  <si>
    <t>авансова виплата заробітної плати 15 числа поточного місяця</t>
  </si>
  <si>
    <t>остаточна виплата заробітної плати за місяць 01 числа наступного за звітним місяця</t>
  </si>
  <si>
    <t xml:space="preserve">     БЮДЖЕТ ВИТРАТ НА ОПЛАТУ ПРАЦІ ВИРОБНИЧОГО ПЕРСОНАЛУ НА ПЛАНОВИЙ РІК</t>
  </si>
  <si>
    <t>Витрати праці на одиницю продукції, год</t>
  </si>
  <si>
    <t>Тарифна ставка за годину, грн/год</t>
  </si>
  <si>
    <t>Витрати на оплату праці на одиницю продукції, грн</t>
  </si>
  <si>
    <t xml:space="preserve">Витрати  на оплату праці на всю вироблену продукцію, грн </t>
  </si>
  <si>
    <t>Загальні витрати на оплату праці виробничого песоналу</t>
  </si>
  <si>
    <t xml:space="preserve">                        Графік здійснення виплат з оплати праці виробничого персоналу</t>
  </si>
  <si>
    <t>Сума витрат на оплату праці</t>
  </si>
  <si>
    <t>Виплата заробітної плати (грн.)</t>
  </si>
  <si>
    <t>Етап - 5.</t>
  </si>
  <si>
    <t>На підставі попередніх розрахунків   розрахувати БЮДЖЕТ ІНШИХ ПРЯМИХ ВИТРАТ  НА ПЛАНОВИЙ РІК.</t>
  </si>
  <si>
    <t>Виплата ЕСВ здійснюється до 20 числа наступного місяця.</t>
  </si>
  <si>
    <t>єсв на заробітну плату виробничого персоналу</t>
  </si>
  <si>
    <t>в іншому бюджеті</t>
  </si>
  <si>
    <t>амортизація виробничого обладнання (відобразимо в бюджеті загальновиробничих витрат)</t>
  </si>
  <si>
    <t>брак продукції ( у відсотках до ціни реалізації поточного періоду)</t>
  </si>
  <si>
    <t xml:space="preserve">     БЮДЖЕТ ІНШИХ ПРЯМИХ ВИТРАТ  НА ПЛАНОВИЙ РІК</t>
  </si>
  <si>
    <t>ЕСВ у витратах на оплату праці в одиниці продукції, грн</t>
  </si>
  <si>
    <t>Витрати на брак продукції в одиниці продукції, грн</t>
  </si>
  <si>
    <t>Інші прямі витрати на одиницю продукції, грн</t>
  </si>
  <si>
    <t>змінні</t>
  </si>
  <si>
    <t>Графік здійснення оплати інших прямих витрат</t>
  </si>
  <si>
    <t xml:space="preserve">Нараховано витрат </t>
  </si>
  <si>
    <t>Оплачувані витрати</t>
  </si>
  <si>
    <t>Оплата інших прямих  витрат (грн.)</t>
  </si>
  <si>
    <t>Етап - 6.</t>
  </si>
  <si>
    <t>Постійні витрати розподіляються за питомою вагою вартості матеріалів для виробництва певної продукції у загальній вартості матеріалів</t>
  </si>
  <si>
    <t>Фонд оплати праці загальновиробничого персоналу, грн</t>
  </si>
  <si>
    <t>Ставка змінних загальновиробничих витрат на одиницю виробленої продукції, грн</t>
  </si>
  <si>
    <t>Залежить від обсягу виробництва</t>
  </si>
  <si>
    <t>Первісна вартість загальновиробничих ОФ, грн</t>
  </si>
  <si>
    <r>
      <t xml:space="preserve">Первсна вартість виробничого обладнання </t>
    </r>
    <r>
      <rPr>
        <sz val="12"/>
        <color indexed="8"/>
        <rFont val="Times New Roman"/>
        <family val="1"/>
        <charset val="204"/>
      </rPr>
      <t>, грн</t>
    </r>
  </si>
  <si>
    <t>строк корисного використання загальновиробничих ОФ, роки</t>
  </si>
  <si>
    <t>строк корисного використання виробничого обладнання , роки</t>
  </si>
  <si>
    <r>
      <t>залишкова вартість виробничого обладнання на початок бюджетного періоду</t>
    </r>
    <r>
      <rPr>
        <sz val="12"/>
        <color indexed="8"/>
        <rFont val="Times New Roman"/>
        <family val="1"/>
        <charset val="204"/>
      </rPr>
      <t>, грн</t>
    </r>
  </si>
  <si>
    <t>ліквідаційна вартість загальновиробничих ОФ, грн</t>
  </si>
  <si>
    <r>
      <t>ліквідаційна вартість виробничого обладнання</t>
    </r>
    <r>
      <rPr>
        <sz val="12"/>
        <color indexed="8"/>
        <rFont val="Times New Roman"/>
        <family val="1"/>
        <charset val="204"/>
      </rPr>
      <t>, грн</t>
    </r>
  </si>
  <si>
    <t>Річна норма амортизації загальновиробничих ОФ прямолінійним методом</t>
  </si>
  <si>
    <t>Річна норма амортизації виробничого обладнання методом залишкової вартості</t>
  </si>
  <si>
    <t xml:space="preserve">                      ПОКАЗНИКИ</t>
  </si>
  <si>
    <t>Витрати оплати праці загальновиробничого персоналу</t>
  </si>
  <si>
    <t>Одиниці виміру</t>
  </si>
  <si>
    <t>ЄСВ</t>
  </si>
  <si>
    <t>Амортизація загальновиробничих ОФ, грн</t>
  </si>
  <si>
    <t>Амортизація виробничого обладнання (може бути в Бюджеті інших прямих витрат), грн</t>
  </si>
  <si>
    <t>Всього загальновиробничі накладні витрати</t>
  </si>
  <si>
    <t>Графік здійснення оплати накладних загальновиробничих витрат</t>
  </si>
  <si>
    <t>Оплачувані витрати, в т.ч.</t>
  </si>
  <si>
    <t>Витрати наплату праці</t>
  </si>
  <si>
    <t>Оплата загальновиробничих накладних витрат (грн.)</t>
  </si>
  <si>
    <t>перша частина зарплати до 15 числа поточного місяця</t>
  </si>
  <si>
    <t>друга частина зарплати до 01 числа наступного місяця</t>
  </si>
  <si>
    <t>Кредиторська заборгованість на початок періоду</t>
  </si>
  <si>
    <t>Кредиторська забргованість на кінець періоду</t>
  </si>
  <si>
    <t>Етап - 7.</t>
  </si>
  <si>
    <t>Вартість матеріалів в одиниці продукції , грн (без ПДВ)</t>
  </si>
  <si>
    <t>Прямі витрати на оплату заробітної плати в одиниці продукції , грн</t>
  </si>
  <si>
    <t>Виробнича собівартість одиниці виготовленої продукції</t>
  </si>
  <si>
    <t>Змінні загальновиробничі  витрати в одиніці продукції, грн</t>
  </si>
  <si>
    <t>Постійні загальновиробничі витрати в одиниці продукції, грн</t>
  </si>
  <si>
    <t>БЮДЖЕТ ЗАГАЛЬНОВИРОБНИЧИХ НАКЛАДНИХ ВИТРАТ (ЗНВ) НА ПЛАНОВИЙ РІК, грн</t>
  </si>
  <si>
    <t>ЗНВ в одиниці продукції, грн</t>
  </si>
  <si>
    <t>Постійні ЗНВ, грн</t>
  </si>
  <si>
    <t>Всього постійних ЗНВ</t>
  </si>
  <si>
    <t>Загальновиробничі накладні витрати на одиницю продукції, грн</t>
  </si>
  <si>
    <t>Собівартість всього обсягу виготовленої продукції А</t>
  </si>
  <si>
    <t>Собівартість всього обсягу виготовленої продукції В</t>
  </si>
  <si>
    <t xml:space="preserve">        БЮДЖЕТ СОБІВАРТОСТІ РЕАЛІЗОВАНОЇ ПРОДУКЦІЇ,  ЗАПАСІВ ГОТОВОЇ ПРОДУКЦІЇ НА ПЛАНОВИЙ РІК</t>
  </si>
  <si>
    <t>Етап - 8.</t>
  </si>
  <si>
    <t>год</t>
  </si>
  <si>
    <t>грн\год</t>
  </si>
  <si>
    <t>Вартість запасі ГП на початок періоду</t>
  </si>
  <si>
    <t>Вартість запасі ГП  на кінець періоду</t>
  </si>
  <si>
    <t>Собівартість реалізованої продукції</t>
  </si>
  <si>
    <t>Загальна собівартість  виготовленої продукції</t>
  </si>
  <si>
    <t>Загальна собівартість виготовленої  продукції, грн</t>
  </si>
  <si>
    <t>Собівартість реалізованої продукції А</t>
  </si>
  <si>
    <t>Собівартість реалізованої продукції В</t>
  </si>
  <si>
    <t>Первісна вартість загальногосподарських ОФ, грн</t>
  </si>
  <si>
    <t>строк корисного використання загальногосподарських ОФ, роки</t>
  </si>
  <si>
    <t xml:space="preserve">залишкова вартість загальногосподарських ОФ  на початок бюджетного періоду </t>
  </si>
  <si>
    <t>ставка змінних витарт на збут (% до чистого доходу від реалізації)</t>
  </si>
  <si>
    <t>Річна норма амортизації загальногосподарських ОФ прямолінійним методом</t>
  </si>
  <si>
    <t>БЮДЖЕТ АДМІНІСТРАТИВНИХ ТА КОМЕРЦІЙНИХ ВИТРАТ НА ПЛАНОВИЙ РІК</t>
  </si>
  <si>
    <t>Витрати оплати праці адмін. та збутового персоналу</t>
  </si>
  <si>
    <t>Амортизація ОФ загальновиробничого признанчення</t>
  </si>
  <si>
    <t>Інші адміністартивні та комерційні витрати (матеріали та послуги)</t>
  </si>
  <si>
    <t>Всього постійних витрат</t>
  </si>
  <si>
    <t>Змінні витрати на збут (% від чистого доходу)</t>
  </si>
  <si>
    <t>Загальна сума адміністративних та комерційних  витрат</t>
  </si>
  <si>
    <t>Графік здійснення оплати плати адміністартивних і комерційних  витрат</t>
  </si>
  <si>
    <t>Оплата праці</t>
  </si>
  <si>
    <t>Змінні витарти на збут та інші адміністартивні та комерційні витрати (з ПДВ)</t>
  </si>
  <si>
    <t>Заборгованість початок періоду</t>
  </si>
  <si>
    <t>Заборгованість на кінець періоду</t>
  </si>
  <si>
    <t>Оплата накладних витрат (грн.)</t>
  </si>
  <si>
    <t>за 4-й квартал 2002 р.</t>
  </si>
  <si>
    <t>за 1-й квартал 2003 р.</t>
  </si>
  <si>
    <t>за 2-й квартал 2003 р.</t>
  </si>
  <si>
    <t>за 3-й квартал 2003 р.</t>
  </si>
  <si>
    <t>за 4-й квартал 2003 р.</t>
  </si>
  <si>
    <t>На підставі попередніх розрахунків сформувати БЮДЖЕТ АДМІНІСТРАТИВНИХ ТА КОМЕРЦІЙНИХ ВИТРАТ НА ПЛАНОВИЙ РІК</t>
  </si>
  <si>
    <t>Оплата  змінних витрат н азбут та інших адміністартивних та збутових витрат на оплату матеріалів здійснюється: 80% - в поточному кварталі, 20% - в наступному кварталі.</t>
  </si>
  <si>
    <t>Зарплата 60% та 40%, відповідно</t>
  </si>
  <si>
    <t>ЄСВ - в наступному місяці</t>
  </si>
  <si>
    <t>Етап - 9.</t>
  </si>
  <si>
    <t>Етап - 10.</t>
  </si>
  <si>
    <t>БЮДЖЕТ ПОДАТКІВ НА ПЛАНОВИЙ ПЕРІОД</t>
  </si>
  <si>
    <t>Чистий дохід</t>
  </si>
  <si>
    <t>Податкове зобов'язання</t>
  </si>
  <si>
    <t>Податковий кредит 1</t>
  </si>
  <si>
    <t>Податковий кредит 2</t>
  </si>
  <si>
    <t>Податковий кредит 3</t>
  </si>
  <si>
    <t>ПДВ до сплати</t>
  </si>
  <si>
    <t>Податок на прибуток</t>
  </si>
  <si>
    <t>Разом до сплати</t>
  </si>
  <si>
    <t>Графік здійснення оплати податків</t>
  </si>
  <si>
    <t>Загальна сума оплати, грн.</t>
  </si>
  <si>
    <t>Етап - 11.</t>
  </si>
  <si>
    <t>На підставі попередніх розрахунків та даних, розрахувати БЮДЖЕТ ФІНАНСОВОГО РЕЗУЛЬТАТУ НА ПЛАНОВИЙ РІК.</t>
  </si>
  <si>
    <t xml:space="preserve">                               БЮДЖЕТ ФІНАНСОВОГО РЕЗУЛЬТАТУ ЗА ПЛАНОВИЙ РІК</t>
  </si>
  <si>
    <t>СТАТТЯ</t>
  </si>
  <si>
    <t>Чистий дохід від реалізації</t>
  </si>
  <si>
    <t>Валовий прибуток (збиток)</t>
  </si>
  <si>
    <t>Адміністративні витрати та витрати на збут та інші операційні витрати</t>
  </si>
  <si>
    <t>Фінансові результати від операційної діяльності:  прибуток/збиток</t>
  </si>
  <si>
    <t>Фінансові витрати</t>
  </si>
  <si>
    <t>Інші витрати</t>
  </si>
  <si>
    <t>Фінансові результат  до оподаткування: прибуток/збиток</t>
  </si>
  <si>
    <t>Накопичений результат</t>
  </si>
  <si>
    <t>На підставі попередніх розрахунків та даних, розрахувати БЮДЖЕТ ГРОШОВИХ КОШТІВ НА ПЛАНОВИЙ РІК</t>
  </si>
  <si>
    <t xml:space="preserve">                                    БЮДЖЕТ ГРОШОВИХ КОШТІВ НА ПЛАНОВИЙ РІК.</t>
  </si>
  <si>
    <t>Грошові кошти на початок періоду</t>
  </si>
  <si>
    <t>Надходження грошових коштів</t>
  </si>
  <si>
    <t xml:space="preserve">Від покупців за продукцію </t>
  </si>
  <si>
    <t>Від фінансових установ</t>
  </si>
  <si>
    <t>Інші надходження</t>
  </si>
  <si>
    <t>Всього коштів у розпорядженні:</t>
  </si>
  <si>
    <t>Використання грошових коштів</t>
  </si>
  <si>
    <t>На оплату матеріалів</t>
  </si>
  <si>
    <t>На оплату заробітної плати виробничого персоналу</t>
  </si>
  <si>
    <t>На оплату інших прямих витрат</t>
  </si>
  <si>
    <t>На сплату загальновиробничих витрат</t>
  </si>
  <si>
    <t>На сплату адмін та комер витрат</t>
  </si>
  <si>
    <t>На сплату податків</t>
  </si>
  <si>
    <t>Виплати за фінансовою діяльністю:</t>
  </si>
  <si>
    <t>- погашення основної частини боргу</t>
  </si>
  <si>
    <t>- погашення відсотків по боргу</t>
  </si>
  <si>
    <t>Інші виплати</t>
  </si>
  <si>
    <t>Всього використано коштів:</t>
  </si>
  <si>
    <t>Грошові кошти на кінець періоду</t>
  </si>
  <si>
    <t>Етап - 12.</t>
  </si>
  <si>
    <t>ПДВ до сплати В БЮДЖЕТ</t>
  </si>
  <si>
    <t>Кредиторська заборгованість на кінець періоду</t>
  </si>
  <si>
    <t>ПДВ</t>
  </si>
  <si>
    <t>Диспетчер імен\Вкладка формули\або CTRL+F3</t>
  </si>
  <si>
    <t>П_прибуток</t>
  </si>
  <si>
    <t>зміна ціни продукції А, кожного наступного квартала;</t>
  </si>
  <si>
    <t>зміна ціни продукції В, кожного наступного кваратли;</t>
  </si>
  <si>
    <t>зміна обсягу реалізації продукції А, кожного наступного квартала;</t>
  </si>
  <si>
    <t>зміна обсягу реалізації продукції В, кожного наступного квартала;</t>
  </si>
  <si>
    <t>Балансі</t>
  </si>
  <si>
    <t>ЗРГК</t>
  </si>
  <si>
    <t>ЗФР</t>
  </si>
  <si>
    <t xml:space="preserve">Цифри з параметрів </t>
  </si>
  <si>
    <t>зелені</t>
  </si>
  <si>
    <t xml:space="preserve">Цифри з попередніх бюджетів </t>
  </si>
  <si>
    <t xml:space="preserve">Цифри розраховані </t>
  </si>
  <si>
    <t>чорні</t>
  </si>
  <si>
    <t>синій</t>
  </si>
  <si>
    <t>ДЗ на кінець періоди=Виручка поточна+ДЗ на початок-Оплачено в поточному періоді</t>
  </si>
  <si>
    <t>Обсяг виробництва=Обсяг реалізації+Запаси ГП на кінець-Запаси ГП на початок</t>
  </si>
  <si>
    <t>Баланс</t>
  </si>
  <si>
    <t xml:space="preserve">Вартість придбання матеріалів продукції А, грн </t>
  </si>
  <si>
    <t xml:space="preserve">Вартість придбання матеріалів продукції В, грн </t>
  </si>
  <si>
    <t>Інші прямі витрати на весь обсяг продукції, грн</t>
  </si>
  <si>
    <t>Загальна сума інших прямих витрат на весь обсяг продукції, грн</t>
  </si>
  <si>
    <t>Всього змінних ЗНВ</t>
  </si>
  <si>
    <t>Кредиторська заборгованість по заробітній платі на початок періоду</t>
  </si>
  <si>
    <t>Кредиторська заборгованість по заробітній платі на кінець періоду</t>
  </si>
  <si>
    <t>Баланс пасив</t>
  </si>
  <si>
    <t>Сума виплат на оплату праці за продукцією, грн</t>
  </si>
  <si>
    <t>На підставі попередніх розрахунків та даних таблиці № 5  розрахувати БЮДЖЕТ Загальновиробничих НАКЛАДНИХ ВИТРАТ НА ПЛАНОВИЙ РІК</t>
  </si>
  <si>
    <t>залишкова вартість загальновиробничих на початок бюджетного періоду ОФ</t>
  </si>
  <si>
    <t>Продукція Б</t>
  </si>
  <si>
    <t>Собівартість реалізованої продукції = Собівартість виготовленої продукці+С\В запасів ГП на початок-С\В ГП на кінець</t>
  </si>
  <si>
    <t>Продано</t>
  </si>
  <si>
    <t>Виготивили</t>
  </si>
  <si>
    <t>Було</t>
  </si>
  <si>
    <t>Лишилось</t>
  </si>
  <si>
    <t>Вартість запасів ГП на початок періоду</t>
  </si>
  <si>
    <t>Собівартість реалізованої продукції разом</t>
  </si>
  <si>
    <t>Фонд оплати праці адмін та збут персоналу, грн</t>
  </si>
  <si>
    <t>Бюджет реалізації</t>
  </si>
  <si>
    <t>Бюджет собівартості реаліз прод</t>
  </si>
  <si>
    <t>Бюджет адмін витарт</t>
  </si>
  <si>
    <t>Чистий прибуток (збиток)\нерозподілений прибуток</t>
  </si>
  <si>
    <t>Інші постійні загальновиробничі витрати</t>
  </si>
  <si>
    <t>Величина інших постійних загальновиробничих витрат, грн</t>
  </si>
  <si>
    <t>Собівартість реалізованої продукції, разом</t>
  </si>
  <si>
    <t>Запаси ГП на кінець періоду, разом</t>
  </si>
  <si>
    <t>Величина інших адміністративних та комерцйіних витрат (в.т. ч.матеріали та послуги), грн  (без ПДВ)</t>
  </si>
  <si>
    <t>постійні</t>
  </si>
  <si>
    <t>оплата в наступному кварталі змінних витарт на збут та інших адм та ком витрат</t>
  </si>
  <si>
    <t>оплата в поточному кварталі змінних витарт на збут та інших адм та ком витрат</t>
  </si>
  <si>
    <t>до 15 числа поточного місяця</t>
  </si>
  <si>
    <t>1 день наступного кварталу</t>
  </si>
  <si>
    <t>Колір</t>
  </si>
  <si>
    <t>Вартість придбання матеріалів разом</t>
  </si>
  <si>
    <t>База розподілу: вартість матеріалів</t>
  </si>
  <si>
    <t>Витрати на матеріали на виготовлення продукції</t>
  </si>
  <si>
    <t>Бюджет матеріалів</t>
  </si>
  <si>
    <t>Бюджет ЗНВ</t>
  </si>
  <si>
    <t>Бюджет адм та ком витрат</t>
  </si>
  <si>
    <t>БФР</t>
  </si>
  <si>
    <t>Змінні витарти на збут (припущення, що там товари, послуги і роботи з ПДВ)</t>
  </si>
  <si>
    <t>Інші постійні загальновиробничі витрати (припущення, що там товари, послуги і роботи з ПДВ</t>
  </si>
  <si>
    <t>Інші адміністративні та комерційні витарти (припущення, що тут товари, роботи і послуги з ПДВ)</t>
  </si>
  <si>
    <t>Вартість запасів матеріалів на кінець періоду продукції А, грн</t>
  </si>
  <si>
    <t>Вартість запасів матеріалів на кінець періоду продукції В, грн</t>
  </si>
  <si>
    <t>Вартість запасів матеріалів на кінець періоду разом, грн</t>
  </si>
  <si>
    <t>Змінні загальновиробничі  витрати, грн</t>
  </si>
  <si>
    <t>Всі інші витарти окрім запобітної плати та ЄСВ оплачуються в поточному місяці</t>
  </si>
  <si>
    <t>Перевірка</t>
  </si>
  <si>
    <t>х</t>
  </si>
  <si>
    <t>Оплата податків</t>
  </si>
  <si>
    <t>Альтернативний спосіб розрахунку собівартості реалізованої продукції</t>
  </si>
  <si>
    <t xml:space="preserve">ПАРАМЕТРИ 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</si>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</sst>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_);\(#,##0\)"/>
    <numFmt numFmtId="165" formatCode="#,##0.0\ _г_р_н_."/>
    <numFmt numFmtId="166" formatCode="#,##0.0"/>
    <numFmt numFmtId="167" formatCode="0.0%"/>
    <numFmt numFmtId="168" formatCode="mmmm"/>
    <numFmt numFmtId="169" formatCode="0.000"/>
    <numFmt numFmtId="170" formatCode="0.0"/>
    <numFmt numFmtId="171" formatCode="_(&quot;$&quot;* #,##0_);_(&quot;$&quot;* \(#,##0\);_(&quot;$&quot;* &quot;-&quot;_);_(@_)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2"/>
      <name val="Arial Cyr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theme="8"/>
      <name val="Calibri"/>
      <family val="2"/>
      <charset val="204"/>
      <scheme val="minor"/>
    </font>
    <font>
      <sz val="11"/>
      <color theme="9"/>
      <name val="Calibri"/>
      <family val="2"/>
      <charset val="204"/>
      <scheme val="minor"/>
    </font>
    <font>
      <b/>
      <sz val="12"/>
      <color rgb="FF00B0F0"/>
      <name val="Times New Roman"/>
      <family val="1"/>
      <charset val="204"/>
    </font>
    <font>
      <b/>
      <sz val="12"/>
      <color theme="4"/>
      <name val="Times New Roman"/>
      <family val="1"/>
      <charset val="204"/>
    </font>
    <font>
      <sz val="12"/>
      <color rgb="FF00B0F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7" fillId="0" borderId="0" applyFont="0" applyFill="0" applyBorder="0" applyAlignment="0" applyProtection="0"/>
    <xf numFmtId="171" fontId="37" fillId="0" borderId="0" applyFont="0" applyFill="0" applyBorder="0" applyAlignment="0" applyProtection="0"/>
  </cellStyleXfs>
  <cellXfs count="45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6" fillId="0" borderId="0" xfId="0" applyFont="1" applyFill="1" applyBorder="1"/>
    <xf numFmtId="164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/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0" fillId="0" borderId="1" xfId="0" applyBorder="1"/>
    <xf numFmtId="0" fontId="8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right"/>
    </xf>
    <xf numFmtId="0" fontId="9" fillId="0" borderId="24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165" fontId="9" fillId="0" borderId="26" xfId="0" applyNumberFormat="1" applyFont="1" applyFill="1" applyBorder="1" applyAlignment="1">
      <alignment horizontal="right"/>
    </xf>
    <xf numFmtId="165" fontId="9" fillId="0" borderId="27" xfId="0" applyNumberFormat="1" applyFont="1" applyFill="1" applyBorder="1" applyAlignment="1">
      <alignment horizontal="right"/>
    </xf>
    <xf numFmtId="165" fontId="9" fillId="0" borderId="20" xfId="0" applyNumberFormat="1" applyFont="1" applyFill="1" applyBorder="1" applyAlignment="1">
      <alignment horizontal="right"/>
    </xf>
    <xf numFmtId="165" fontId="9" fillId="0" borderId="6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left"/>
    </xf>
    <xf numFmtId="168" fontId="8" fillId="0" borderId="34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right"/>
    </xf>
    <xf numFmtId="4" fontId="16" fillId="0" borderId="0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0" fontId="14" fillId="0" borderId="0" xfId="0" applyFont="1" applyFill="1" applyBorder="1"/>
    <xf numFmtId="0" fontId="3" fillId="0" borderId="0" xfId="0" applyFont="1" applyFill="1" applyBorder="1"/>
    <xf numFmtId="0" fontId="8" fillId="0" borderId="0" xfId="0" applyFont="1" applyFill="1" applyBorder="1"/>
    <xf numFmtId="0" fontId="4" fillId="2" borderId="0" xfId="0" applyFont="1" applyFill="1"/>
    <xf numFmtId="0" fontId="9" fillId="0" borderId="2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0" fillId="5" borderId="0" xfId="0" applyFill="1"/>
    <xf numFmtId="0" fontId="3" fillId="0" borderId="2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25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165" fontId="13" fillId="0" borderId="26" xfId="0" applyNumberFormat="1" applyFont="1" applyFill="1" applyBorder="1" applyAlignment="1">
      <alignment horizontal="right"/>
    </xf>
    <xf numFmtId="166" fontId="13" fillId="0" borderId="28" xfId="0" applyNumberFormat="1" applyFont="1" applyFill="1" applyBorder="1" applyAlignment="1">
      <alignment horizontal="center"/>
    </xf>
    <xf numFmtId="166" fontId="13" fillId="0" borderId="4" xfId="0" applyNumberFormat="1" applyFont="1" applyFill="1" applyBorder="1" applyAlignment="1">
      <alignment horizontal="center"/>
    </xf>
    <xf numFmtId="165" fontId="13" fillId="0" borderId="6" xfId="0" applyNumberFormat="1" applyFont="1" applyFill="1" applyBorder="1" applyAlignment="1">
      <alignment horizontal="center"/>
    </xf>
    <xf numFmtId="3" fontId="3" fillId="0" borderId="32" xfId="0" applyNumberFormat="1" applyFont="1" applyFill="1" applyBorder="1" applyAlignment="1">
      <alignment horizontal="right"/>
    </xf>
    <xf numFmtId="167" fontId="13" fillId="0" borderId="32" xfId="0" applyNumberFormat="1" applyFont="1" applyFill="1" applyBorder="1" applyAlignment="1">
      <alignment horizontal="center"/>
    </xf>
    <xf numFmtId="3" fontId="13" fillId="0" borderId="33" xfId="0" applyNumberFormat="1" applyFont="1" applyFill="1" applyBorder="1" applyAlignment="1">
      <alignment horizontal="right"/>
    </xf>
    <xf numFmtId="165" fontId="3" fillId="0" borderId="35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36" xfId="0" applyNumberFormat="1" applyFont="1" applyFill="1" applyBorder="1" applyAlignment="1">
      <alignment horizontal="right"/>
    </xf>
    <xf numFmtId="166" fontId="13" fillId="0" borderId="37" xfId="0" applyNumberFormat="1" applyFont="1" applyFill="1" applyBorder="1" applyAlignment="1">
      <alignment horizontal="center"/>
    </xf>
    <xf numFmtId="166" fontId="13" fillId="0" borderId="34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right"/>
    </xf>
    <xf numFmtId="165" fontId="13" fillId="3" borderId="27" xfId="0" applyNumberFormat="1" applyFont="1" applyFill="1" applyBorder="1" applyAlignment="1">
      <alignment horizontal="right"/>
    </xf>
    <xf numFmtId="165" fontId="13" fillId="3" borderId="20" xfId="0" applyNumberFormat="1" applyFont="1" applyFill="1" applyBorder="1" applyAlignment="1">
      <alignment horizontal="right"/>
    </xf>
    <xf numFmtId="165" fontId="13" fillId="3" borderId="6" xfId="0" applyNumberFormat="1" applyFont="1" applyFill="1" applyBorder="1" applyAlignment="1">
      <alignment horizontal="right"/>
    </xf>
    <xf numFmtId="166" fontId="13" fillId="3" borderId="28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6" fontId="13" fillId="3" borderId="4" xfId="0" applyNumberFormat="1" applyFont="1" applyFill="1" applyBorder="1" applyAlignment="1">
      <alignment horizontal="center"/>
    </xf>
    <xf numFmtId="165" fontId="3" fillId="3" borderId="29" xfId="0" applyNumberFormat="1" applyFont="1" applyFill="1" applyBorder="1" applyAlignment="1">
      <alignment horizontal="right"/>
    </xf>
    <xf numFmtId="165" fontId="3" fillId="3" borderId="30" xfId="0" applyNumberFormat="1" applyFont="1" applyFill="1" applyBorder="1" applyAlignment="1">
      <alignment horizontal="right"/>
    </xf>
    <xf numFmtId="165" fontId="13" fillId="3" borderId="2" xfId="0" applyNumberFormat="1" applyFont="1" applyFill="1" applyBorder="1" applyAlignment="1">
      <alignment horizontal="right"/>
    </xf>
    <xf numFmtId="165" fontId="13" fillId="3" borderId="6" xfId="0" applyNumberFormat="1" applyFont="1" applyFill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/>
    </xf>
    <xf numFmtId="165" fontId="13" fillId="3" borderId="20" xfId="0" applyNumberFormat="1" applyFont="1" applyFill="1" applyBorder="1" applyAlignment="1">
      <alignment horizontal="center"/>
    </xf>
    <xf numFmtId="3" fontId="3" fillId="3" borderId="32" xfId="0" applyNumberFormat="1" applyFont="1" applyFill="1" applyBorder="1" applyAlignment="1">
      <alignment horizontal="right"/>
    </xf>
    <xf numFmtId="167" fontId="13" fillId="3" borderId="32" xfId="0" applyNumberFormat="1" applyFont="1" applyFill="1" applyBorder="1" applyAlignment="1">
      <alignment horizontal="center"/>
    </xf>
    <xf numFmtId="3" fontId="13" fillId="3" borderId="33" xfId="0" applyNumberFormat="1" applyFont="1" applyFill="1" applyBorder="1" applyAlignment="1">
      <alignment horizontal="right"/>
    </xf>
    <xf numFmtId="165" fontId="3" fillId="3" borderId="35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65" fontId="3" fillId="3" borderId="36" xfId="0" applyNumberFormat="1" applyFont="1" applyFill="1" applyBorder="1" applyAlignment="1">
      <alignment horizontal="right"/>
    </xf>
    <xf numFmtId="166" fontId="13" fillId="3" borderId="37" xfId="0" applyNumberFormat="1" applyFont="1" applyFill="1" applyBorder="1" applyAlignment="1">
      <alignment horizontal="center"/>
    </xf>
    <xf numFmtId="166" fontId="13" fillId="3" borderId="34" xfId="0" applyNumberFormat="1" applyFont="1" applyFill="1" applyBorder="1" applyAlignment="1">
      <alignment horizontal="center"/>
    </xf>
    <xf numFmtId="165" fontId="3" fillId="3" borderId="38" xfId="0" applyNumberFormat="1" applyFont="1" applyFill="1" applyBorder="1" applyAlignment="1">
      <alignment horizontal="right"/>
    </xf>
    <xf numFmtId="0" fontId="4" fillId="0" borderId="31" xfId="0" applyFont="1" applyFill="1" applyBorder="1" applyAlignment="1">
      <alignment horizontal="left"/>
    </xf>
    <xf numFmtId="0" fontId="4" fillId="0" borderId="32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wrapText="1"/>
    </xf>
    <xf numFmtId="165" fontId="13" fillId="0" borderId="37" xfId="0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3" fontId="3" fillId="0" borderId="25" xfId="0" applyNumberFormat="1" applyFont="1" applyFill="1" applyBorder="1" applyAlignment="1">
      <alignment horizontal="right"/>
    </xf>
    <xf numFmtId="166" fontId="13" fillId="0" borderId="44" xfId="0" applyNumberFormat="1" applyFont="1" applyFill="1" applyBorder="1" applyAlignment="1">
      <alignment horizontal="center"/>
    </xf>
    <xf numFmtId="166" fontId="13" fillId="0" borderId="3" xfId="0" applyNumberFormat="1" applyFont="1" applyFill="1" applyBorder="1" applyAlignment="1">
      <alignment horizontal="center"/>
    </xf>
    <xf numFmtId="166" fontId="13" fillId="0" borderId="2" xfId="0" applyNumberFormat="1" applyFont="1" applyFill="1" applyBorder="1" applyAlignment="1">
      <alignment horizontal="center"/>
    </xf>
    <xf numFmtId="166" fontId="13" fillId="0" borderId="25" xfId="0" applyNumberFormat="1" applyFont="1" applyFill="1" applyBorder="1" applyAlignment="1">
      <alignment horizontal="center"/>
    </xf>
    <xf numFmtId="166" fontId="11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13" fillId="0" borderId="0" xfId="0" applyFont="1" applyFill="1"/>
    <xf numFmtId="0" fontId="9" fillId="0" borderId="39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left"/>
    </xf>
    <xf numFmtId="0" fontId="8" fillId="0" borderId="25" xfId="0" applyFont="1" applyFill="1" applyBorder="1" applyAlignment="1">
      <alignment horizontal="center"/>
    </xf>
    <xf numFmtId="0" fontId="8" fillId="0" borderId="4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0" fillId="0" borderId="0" xfId="0" applyFont="1" applyFill="1" applyBorder="1"/>
    <xf numFmtId="164" fontId="7" fillId="0" borderId="0" xfId="0" applyNumberFormat="1" applyFont="1" applyFill="1" applyAlignment="1"/>
    <xf numFmtId="164" fontId="23" fillId="5" borderId="0" xfId="0" applyNumberFormat="1" applyFont="1" applyFill="1" applyAlignment="1">
      <alignment horizontal="center"/>
    </xf>
    <xf numFmtId="0" fontId="6" fillId="3" borderId="0" xfId="0" applyFont="1" applyFill="1" applyBorder="1"/>
    <xf numFmtId="164" fontId="6" fillId="0" borderId="0" xfId="0" applyNumberFormat="1" applyFont="1" applyFill="1" applyBorder="1" applyAlignment="1"/>
    <xf numFmtId="0" fontId="6" fillId="0" borderId="8" xfId="0" applyFont="1" applyFill="1" applyBorder="1"/>
    <xf numFmtId="164" fontId="7" fillId="0" borderId="8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164" fontId="7" fillId="0" borderId="46" xfId="0" applyNumberFormat="1" applyFont="1" applyFill="1" applyBorder="1" applyAlignment="1">
      <alignment horizontal="center"/>
    </xf>
    <xf numFmtId="164" fontId="7" fillId="0" borderId="7" xfId="0" applyNumberFormat="1" applyFont="1" applyFill="1" applyBorder="1" applyAlignment="1">
      <alignment horizontal="center"/>
    </xf>
    <xf numFmtId="169" fontId="22" fillId="5" borderId="1" xfId="0" applyNumberFormat="1" applyFont="1" applyFill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/>
    <xf numFmtId="0" fontId="21" fillId="0" borderId="0" xfId="0" applyFont="1" applyFill="1" applyBorder="1" applyAlignment="1">
      <alignment horizontal="left"/>
    </xf>
    <xf numFmtId="4" fontId="0" fillId="0" borderId="0" xfId="0" applyNumberFormat="1"/>
    <xf numFmtId="167" fontId="13" fillId="0" borderId="25" xfId="0" applyNumberFormat="1" applyFont="1" applyFill="1" applyBorder="1" applyAlignment="1">
      <alignment horizontal="center"/>
    </xf>
    <xf numFmtId="165" fontId="3" fillId="0" borderId="29" xfId="0" applyNumberFormat="1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right"/>
    </xf>
    <xf numFmtId="165" fontId="3" fillId="0" borderId="38" xfId="0" applyNumberFormat="1" applyFont="1" applyFill="1" applyBorder="1" applyAlignment="1">
      <alignment horizontal="right"/>
    </xf>
    <xf numFmtId="165" fontId="13" fillId="0" borderId="6" xfId="0" applyNumberFormat="1" applyFont="1" applyFill="1" applyBorder="1" applyAlignment="1">
      <alignment horizontal="right"/>
    </xf>
    <xf numFmtId="170" fontId="22" fillId="5" borderId="1" xfId="0" applyNumberFormat="1" applyFont="1" applyFill="1" applyBorder="1"/>
    <xf numFmtId="0" fontId="8" fillId="0" borderId="14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21" fillId="0" borderId="14" xfId="0" applyFont="1" applyBorder="1"/>
    <xf numFmtId="0" fontId="28" fillId="0" borderId="0" xfId="0" applyFont="1" applyFill="1"/>
    <xf numFmtId="166" fontId="29" fillId="0" borderId="0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165" fontId="9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9" fillId="0" borderId="16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166" fontId="13" fillId="3" borderId="13" xfId="0" applyNumberFormat="1" applyFont="1" applyFill="1" applyBorder="1" applyAlignment="1">
      <alignment horizontal="center"/>
    </xf>
    <xf numFmtId="165" fontId="13" fillId="3" borderId="15" xfId="0" applyNumberFormat="1" applyFont="1" applyFill="1" applyBorder="1" applyAlignment="1">
      <alignment horizontal="center"/>
    </xf>
    <xf numFmtId="165" fontId="13" fillId="3" borderId="5" xfId="0" applyNumberFormat="1" applyFont="1" applyFill="1" applyBorder="1" applyAlignment="1">
      <alignment horizontal="right"/>
    </xf>
    <xf numFmtId="165" fontId="13" fillId="3" borderId="5" xfId="0" applyNumberFormat="1" applyFont="1" applyFill="1" applyBorder="1" applyAlignment="1">
      <alignment horizontal="center"/>
    </xf>
    <xf numFmtId="165" fontId="13" fillId="3" borderId="17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center"/>
    </xf>
    <xf numFmtId="0" fontId="22" fillId="4" borderId="11" xfId="0" applyFont="1" applyFill="1" applyBorder="1"/>
    <xf numFmtId="164" fontId="23" fillId="0" borderId="0" xfId="0" applyNumberFormat="1" applyFont="1" applyFill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right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wrapText="1"/>
    </xf>
    <xf numFmtId="3" fontId="8" fillId="0" borderId="25" xfId="0" applyNumberFormat="1" applyFont="1" applyFill="1" applyBorder="1" applyAlignment="1">
      <alignment horizontal="right"/>
    </xf>
    <xf numFmtId="3" fontId="9" fillId="0" borderId="45" xfId="0" applyNumberFormat="1" applyFont="1" applyFill="1" applyBorder="1" applyAlignment="1">
      <alignment horizontal="right"/>
    </xf>
    <xf numFmtId="165" fontId="8" fillId="0" borderId="35" xfId="0" applyNumberFormat="1" applyFont="1" applyFill="1" applyBorder="1" applyAlignment="1"/>
    <xf numFmtId="165" fontId="8" fillId="0" borderId="1" xfId="0" applyNumberFormat="1" applyFont="1" applyFill="1" applyBorder="1" applyAlignment="1"/>
    <xf numFmtId="0" fontId="7" fillId="0" borderId="39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166" fontId="9" fillId="0" borderId="1" xfId="0" applyNumberFormat="1" applyFont="1" applyFill="1" applyBorder="1" applyAlignment="1">
      <alignment horizontal="center"/>
    </xf>
    <xf numFmtId="0" fontId="3" fillId="7" borderId="1" xfId="0" applyFont="1" applyFill="1" applyBorder="1"/>
    <xf numFmtId="0" fontId="8" fillId="0" borderId="1" xfId="0" applyFont="1" applyFill="1" applyBorder="1"/>
    <xf numFmtId="0" fontId="8" fillId="7" borderId="1" xfId="0" applyFont="1" applyFill="1" applyBorder="1"/>
    <xf numFmtId="164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/>
    <xf numFmtId="0" fontId="21" fillId="7" borderId="1" xfId="0" applyFont="1" applyFill="1" applyBorder="1"/>
    <xf numFmtId="9" fontId="21" fillId="7" borderId="1" xfId="0" applyNumberFormat="1" applyFont="1" applyFill="1" applyBorder="1"/>
    <xf numFmtId="167" fontId="21" fillId="5" borderId="1" xfId="1" applyNumberFormat="1" applyFont="1" applyFill="1" applyBorder="1"/>
    <xf numFmtId="0" fontId="33" fillId="0" borderId="2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3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4" fontId="35" fillId="0" borderId="45" xfId="0" applyNumberFormat="1" applyFont="1" applyBorder="1" applyAlignment="1">
      <alignment horizontal="center" vertical="center"/>
    </xf>
    <xf numFmtId="4" fontId="33" fillId="0" borderId="25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4" fontId="33" fillId="0" borderId="45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3" fillId="0" borderId="31" xfId="0" applyFont="1" applyBorder="1" applyAlignment="1">
      <alignment vertical="center"/>
    </xf>
    <xf numFmtId="0" fontId="33" fillId="0" borderId="25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4" fontId="33" fillId="0" borderId="4" xfId="0" applyNumberFormat="1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4" fontId="33" fillId="0" borderId="2" xfId="0" applyNumberFormat="1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4" fontId="33" fillId="0" borderId="0" xfId="0" applyNumberFormat="1" applyFont="1" applyBorder="1" applyAlignment="1">
      <alignment horizontal="center" vertical="center"/>
    </xf>
    <xf numFmtId="0" fontId="13" fillId="3" borderId="0" xfId="0" applyFont="1" applyFill="1"/>
    <xf numFmtId="165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/>
    <xf numFmtId="0" fontId="13" fillId="0" borderId="16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0" fillId="0" borderId="0" xfId="0" applyFill="1"/>
    <xf numFmtId="0" fontId="13" fillId="0" borderId="21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9" fontId="12" fillId="0" borderId="0" xfId="0" applyNumberFormat="1" applyFont="1" applyFill="1"/>
    <xf numFmtId="165" fontId="13" fillId="0" borderId="10" xfId="0" applyNumberFormat="1" applyFont="1" applyFill="1" applyBorder="1" applyAlignment="1">
      <alignment horizontal="center"/>
    </xf>
    <xf numFmtId="0" fontId="21" fillId="4" borderId="12" xfId="0" applyFont="1" applyFill="1" applyBorder="1"/>
    <xf numFmtId="0" fontId="21" fillId="4" borderId="13" xfId="0" applyFont="1" applyFill="1" applyBorder="1"/>
    <xf numFmtId="0" fontId="21" fillId="0" borderId="1" xfId="0" applyFont="1" applyBorder="1" applyAlignment="1">
      <alignment horizontal="center"/>
    </xf>
    <xf numFmtId="0" fontId="21" fillId="0" borderId="16" xfId="0" applyFont="1" applyBorder="1"/>
    <xf numFmtId="0" fontId="21" fillId="0" borderId="5" xfId="0" applyFont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2" fillId="0" borderId="18" xfId="0" applyFont="1" applyBorder="1"/>
    <xf numFmtId="0" fontId="21" fillId="0" borderId="19" xfId="0" applyFont="1" applyBorder="1" applyAlignment="1">
      <alignment horizontal="center"/>
    </xf>
    <xf numFmtId="0" fontId="22" fillId="4" borderId="1" xfId="0" applyFont="1" applyFill="1" applyBorder="1"/>
    <xf numFmtId="0" fontId="13" fillId="9" borderId="1" xfId="0" applyFont="1" applyFill="1" applyBorder="1"/>
    <xf numFmtId="0" fontId="9" fillId="9" borderId="1" xfId="0" applyFont="1" applyFill="1" applyBorder="1"/>
    <xf numFmtId="0" fontId="22" fillId="9" borderId="1" xfId="0" applyFont="1" applyFill="1" applyBorder="1"/>
    <xf numFmtId="9" fontId="3" fillId="9" borderId="1" xfId="0" applyNumberFormat="1" applyFont="1" applyFill="1" applyBorder="1"/>
    <xf numFmtId="0" fontId="19" fillId="9" borderId="1" xfId="0" applyFont="1" applyFill="1" applyBorder="1" applyAlignment="1">
      <alignment wrapText="1"/>
    </xf>
    <xf numFmtId="0" fontId="7" fillId="9" borderId="1" xfId="0" applyFont="1" applyFill="1" applyBorder="1"/>
    <xf numFmtId="166" fontId="13" fillId="9" borderId="1" xfId="0" applyNumberFormat="1" applyFont="1" applyFill="1" applyBorder="1" applyAlignment="1"/>
    <xf numFmtId="167" fontId="13" fillId="9" borderId="1" xfId="0" applyNumberFormat="1" applyFont="1" applyFill="1" applyBorder="1" applyAlignment="1"/>
    <xf numFmtId="9" fontId="9" fillId="9" borderId="1" xfId="1" applyFont="1" applyFill="1" applyBorder="1" applyAlignment="1"/>
    <xf numFmtId="9" fontId="13" fillId="9" borderId="1" xfId="1" applyFont="1" applyFill="1" applyBorder="1" applyAlignment="1"/>
    <xf numFmtId="0" fontId="3" fillId="9" borderId="0" xfId="0" applyFont="1" applyFill="1"/>
    <xf numFmtId="9" fontId="3" fillId="9" borderId="1" xfId="0" applyNumberFormat="1" applyFont="1" applyFill="1" applyBorder="1" applyAlignment="1">
      <alignment wrapText="1"/>
    </xf>
    <xf numFmtId="0" fontId="8" fillId="9" borderId="1" xfId="0" applyFont="1" applyFill="1" applyBorder="1"/>
    <xf numFmtId="9" fontId="8" fillId="9" borderId="1" xfId="1" applyFont="1" applyFill="1" applyBorder="1"/>
    <xf numFmtId="9" fontId="3" fillId="9" borderId="1" xfId="1" applyFont="1" applyFill="1" applyBorder="1"/>
    <xf numFmtId="165" fontId="13" fillId="0" borderId="26" xfId="0" applyNumberFormat="1" applyFont="1" applyFill="1" applyBorder="1" applyAlignment="1">
      <alignment horizontal="center"/>
    </xf>
    <xf numFmtId="165" fontId="13" fillId="0" borderId="2" xfId="0" applyNumberFormat="1" applyFont="1" applyFill="1" applyBorder="1" applyAlignment="1">
      <alignment horizontal="right"/>
    </xf>
    <xf numFmtId="165" fontId="13" fillId="0" borderId="2" xfId="0" applyNumberFormat="1" applyFont="1" applyFill="1" applyBorder="1" applyAlignment="1">
      <alignment horizontal="center"/>
    </xf>
    <xf numFmtId="165" fontId="13" fillId="0" borderId="20" xfId="0" applyNumberFormat="1" applyFont="1" applyFill="1" applyBorder="1" applyAlignment="1">
      <alignment horizontal="center"/>
    </xf>
    <xf numFmtId="2" fontId="0" fillId="0" borderId="0" xfId="0" applyNumberFormat="1"/>
    <xf numFmtId="0" fontId="0" fillId="10" borderId="0" xfId="0" applyFill="1"/>
    <xf numFmtId="164" fontId="24" fillId="0" borderId="0" xfId="0" applyNumberFormat="1" applyFont="1" applyFill="1" applyBorder="1" applyAlignment="1"/>
    <xf numFmtId="164" fontId="43" fillId="0" borderId="0" xfId="0" applyNumberFormat="1" applyFont="1" applyFill="1" applyAlignment="1">
      <alignment horizontal="center"/>
    </xf>
    <xf numFmtId="0" fontId="25" fillId="0" borderId="0" xfId="0" applyFont="1"/>
    <xf numFmtId="2" fontId="13" fillId="9" borderId="1" xfId="0" applyNumberFormat="1" applyFont="1" applyFill="1" applyBorder="1" applyAlignment="1"/>
    <xf numFmtId="2" fontId="10" fillId="0" borderId="1" xfId="0" applyNumberFormat="1" applyFont="1" applyFill="1" applyBorder="1" applyAlignment="1">
      <alignment horizontal="center"/>
    </xf>
    <xf numFmtId="0" fontId="22" fillId="0" borderId="0" xfId="0" applyFont="1" applyBorder="1"/>
    <xf numFmtId="2" fontId="3" fillId="0" borderId="0" xfId="0" applyNumberFormat="1" applyFont="1" applyFill="1"/>
    <xf numFmtId="0" fontId="22" fillId="12" borderId="1" xfId="0" applyFont="1" applyFill="1" applyBorder="1"/>
    <xf numFmtId="165" fontId="3" fillId="0" borderId="29" xfId="0" applyNumberFormat="1" applyFont="1" applyFill="1" applyBorder="1" applyAlignment="1"/>
    <xf numFmtId="165" fontId="3" fillId="0" borderId="30" xfId="0" applyNumberFormat="1" applyFont="1" applyFill="1" applyBorder="1" applyAlignment="1"/>
    <xf numFmtId="165" fontId="13" fillId="0" borderId="2" xfId="0" applyNumberFormat="1" applyFont="1" applyFill="1" applyBorder="1" applyAlignment="1"/>
    <xf numFmtId="165" fontId="13" fillId="0" borderId="28" xfId="0" applyNumberFormat="1" applyFont="1" applyFill="1" applyBorder="1" applyAlignment="1"/>
    <xf numFmtId="165" fontId="13" fillId="0" borderId="4" xfId="0" applyNumberFormat="1" applyFont="1" applyFill="1" applyBorder="1" applyAlignment="1"/>
    <xf numFmtId="165" fontId="13" fillId="0" borderId="34" xfId="0" applyNumberFormat="1" applyFont="1" applyFill="1" applyBorder="1" applyAlignment="1"/>
    <xf numFmtId="165" fontId="8" fillId="0" borderId="26" xfId="0" applyNumberFormat="1" applyFont="1" applyFill="1" applyBorder="1" applyAlignment="1">
      <alignment horizontal="right"/>
    </xf>
    <xf numFmtId="165" fontId="8" fillId="0" borderId="1" xfId="0" applyNumberFormat="1" applyFont="1" applyFill="1" applyBorder="1" applyAlignment="1">
      <alignment horizontal="center"/>
    </xf>
    <xf numFmtId="167" fontId="30" fillId="0" borderId="25" xfId="0" applyNumberFormat="1" applyFont="1" applyFill="1" applyBorder="1" applyAlignment="1">
      <alignment horizontal="center"/>
    </xf>
    <xf numFmtId="9" fontId="0" fillId="0" borderId="1" xfId="1" applyFont="1" applyBorder="1"/>
    <xf numFmtId="0" fontId="45" fillId="0" borderId="1" xfId="0" applyFont="1" applyBorder="1"/>
    <xf numFmtId="0" fontId="44" fillId="0" borderId="1" xfId="0" applyFont="1" applyBorder="1"/>
    <xf numFmtId="169" fontId="13" fillId="5" borderId="1" xfId="0" applyNumberFormat="1" applyFont="1" applyFill="1" applyBorder="1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25" fillId="0" borderId="0" xfId="0" applyFont="1" applyAlignment="1">
      <alignment wrapText="1"/>
    </xf>
    <xf numFmtId="0" fontId="9" fillId="0" borderId="10" xfId="0" applyFont="1" applyFill="1" applyBorder="1" applyAlignment="1" applyProtection="1">
      <alignment horizontal="center"/>
      <protection hidden="1"/>
    </xf>
    <xf numFmtId="3" fontId="9" fillId="0" borderId="10" xfId="2" applyNumberFormat="1" applyFont="1" applyFill="1" applyBorder="1" applyAlignment="1" applyProtection="1">
      <alignment horizontal="center"/>
    </xf>
    <xf numFmtId="3" fontId="9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center"/>
    </xf>
    <xf numFmtId="3" fontId="9" fillId="0" borderId="10" xfId="2" applyNumberFormat="1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>
      <alignment horizontal="center"/>
    </xf>
    <xf numFmtId="0" fontId="8" fillId="0" borderId="10" xfId="0" applyFont="1" applyFill="1" applyBorder="1" applyProtection="1">
      <protection hidden="1"/>
    </xf>
    <xf numFmtId="166" fontId="8" fillId="0" borderId="10" xfId="3" applyNumberFormat="1" applyFont="1" applyFill="1" applyBorder="1" applyAlignment="1" applyProtection="1"/>
    <xf numFmtId="0" fontId="8" fillId="0" borderId="10" xfId="0" applyFont="1" applyFill="1" applyBorder="1" applyAlignment="1" applyProtection="1">
      <alignment horizontal="left"/>
      <protection hidden="1"/>
    </xf>
    <xf numFmtId="166" fontId="38" fillId="0" borderId="10" xfId="3" applyNumberFormat="1" applyFont="1" applyFill="1" applyBorder="1" applyAlignment="1" applyProtection="1"/>
    <xf numFmtId="166" fontId="8" fillId="0" borderId="10" xfId="2" applyNumberFormat="1" applyFont="1" applyFill="1" applyBorder="1" applyAlignment="1" applyProtection="1"/>
    <xf numFmtId="49" fontId="8" fillId="0" borderId="10" xfId="0" applyNumberFormat="1" applyFont="1" applyFill="1" applyBorder="1" applyAlignment="1" applyProtection="1">
      <alignment horizontal="left"/>
      <protection hidden="1"/>
    </xf>
    <xf numFmtId="166" fontId="13" fillId="0" borderId="10" xfId="0" applyNumberFormat="1" applyFont="1" applyFill="1" applyBorder="1" applyAlignment="1">
      <alignment horizontal="center"/>
    </xf>
    <xf numFmtId="0" fontId="13" fillId="0" borderId="10" xfId="0" applyFont="1" applyFill="1" applyBorder="1"/>
    <xf numFmtId="0" fontId="3" fillId="0" borderId="10" xfId="0" applyFont="1" applyFill="1" applyBorder="1"/>
    <xf numFmtId="4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left" wrapText="1"/>
    </xf>
    <xf numFmtId="4" fontId="35" fillId="0" borderId="10" xfId="0" applyNumberFormat="1" applyFont="1" applyBorder="1" applyAlignment="1">
      <alignment horizontal="center"/>
    </xf>
    <xf numFmtId="0" fontId="33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wrapText="1"/>
    </xf>
    <xf numFmtId="0" fontId="35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/>
    </xf>
    <xf numFmtId="0" fontId="26" fillId="0" borderId="10" xfId="0" applyFont="1" applyBorder="1"/>
    <xf numFmtId="0" fontId="27" fillId="0" borderId="10" xfId="0" applyFont="1" applyBorder="1"/>
    <xf numFmtId="0" fontId="8" fillId="0" borderId="10" xfId="0" applyFont="1" applyFill="1" applyBorder="1" applyAlignment="1">
      <alignment horizontal="left"/>
    </xf>
    <xf numFmtId="0" fontId="22" fillId="8" borderId="10" xfId="0" applyFont="1" applyFill="1" applyBorder="1"/>
    <xf numFmtId="0" fontId="3" fillId="0" borderId="10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22" fillId="0" borderId="10" xfId="0" applyFont="1" applyBorder="1"/>
    <xf numFmtId="0" fontId="13" fillId="0" borderId="10" xfId="0" applyFont="1" applyFill="1" applyBorder="1" applyAlignment="1">
      <alignment horizontal="left" wrapText="1"/>
    </xf>
    <xf numFmtId="0" fontId="21" fillId="8" borderId="10" xfId="0" applyFont="1" applyFill="1" applyBorder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2" fontId="21" fillId="0" borderId="10" xfId="0" applyNumberFormat="1" applyFont="1" applyBorder="1"/>
    <xf numFmtId="2" fontId="21" fillId="0" borderId="10" xfId="0" applyNumberFormat="1" applyFont="1" applyBorder="1" applyAlignment="1">
      <alignment horizontal="center"/>
    </xf>
    <xf numFmtId="2" fontId="22" fillId="0" borderId="10" xfId="0" applyNumberFormat="1" applyFont="1" applyBorder="1"/>
    <xf numFmtId="2" fontId="21" fillId="8" borderId="10" xfId="0" applyNumberFormat="1" applyFont="1" applyFill="1" applyBorder="1"/>
    <xf numFmtId="0" fontId="7" fillId="0" borderId="21" xfId="0" applyFont="1" applyFill="1" applyBorder="1" applyAlignment="1">
      <alignment horizontal="left"/>
    </xf>
    <xf numFmtId="0" fontId="9" fillId="0" borderId="10" xfId="0" applyFont="1" applyFill="1" applyBorder="1" applyAlignment="1"/>
    <xf numFmtId="0" fontId="9" fillId="0" borderId="10" xfId="0" applyFont="1" applyFill="1" applyBorder="1" applyAlignment="1">
      <alignment horizontal="left" wrapText="1"/>
    </xf>
    <xf numFmtId="2" fontId="27" fillId="0" borderId="10" xfId="0" applyNumberFormat="1" applyFont="1" applyBorder="1" applyAlignment="1"/>
    <xf numFmtId="2" fontId="26" fillId="0" borderId="10" xfId="0" applyNumberFormat="1" applyFont="1" applyBorder="1" applyAlignment="1"/>
    <xf numFmtId="0" fontId="21" fillId="0" borderId="10" xfId="0" applyFont="1" applyBorder="1" applyAlignment="1"/>
    <xf numFmtId="166" fontId="3" fillId="3" borderId="1" xfId="0" applyNumberFormat="1" applyFont="1" applyFill="1" applyBorder="1" applyAlignment="1">
      <alignment horizontal="center"/>
    </xf>
    <xf numFmtId="0" fontId="5" fillId="0" borderId="0" xfId="0" applyFont="1" applyFill="1" applyBorder="1"/>
    <xf numFmtId="164" fontId="4" fillId="0" borderId="0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2" fontId="10" fillId="5" borderId="1" xfId="0" applyNumberFormat="1" applyFont="1" applyFill="1" applyBorder="1" applyAlignment="1">
      <alignment horizontal="center"/>
    </xf>
    <xf numFmtId="0" fontId="13" fillId="0" borderId="10" xfId="0" applyFont="1" applyFill="1" applyBorder="1" applyAlignment="1">
      <alignment horizontal="left"/>
    </xf>
    <xf numFmtId="49" fontId="40" fillId="0" borderId="10" xfId="0" applyNumberFormat="1" applyFont="1" applyFill="1" applyBorder="1" applyAlignment="1">
      <alignment horizontal="left"/>
    </xf>
    <xf numFmtId="0" fontId="41" fillId="0" borderId="10" xfId="0" applyFont="1" applyFill="1" applyBorder="1" applyAlignment="1">
      <alignment horizontal="center"/>
    </xf>
    <xf numFmtId="0" fontId="3" fillId="0" borderId="10" xfId="0" applyFont="1" applyFill="1" applyBorder="1" applyAlignment="1"/>
    <xf numFmtId="4" fontId="11" fillId="0" borderId="10" xfId="0" applyNumberFormat="1" applyFont="1" applyFill="1" applyBorder="1" applyAlignment="1">
      <alignment horizontal="center"/>
    </xf>
    <xf numFmtId="4" fontId="13" fillId="0" borderId="10" xfId="0" applyNumberFormat="1" applyFont="1" applyFill="1" applyBorder="1" applyAlignment="1">
      <alignment horizontal="center"/>
    </xf>
    <xf numFmtId="4" fontId="39" fillId="0" borderId="10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/>
    <xf numFmtId="4" fontId="13" fillId="0" borderId="10" xfId="0" applyNumberFormat="1" applyFont="1" applyFill="1" applyBorder="1" applyAlignment="1"/>
    <xf numFmtId="0" fontId="35" fillId="0" borderId="10" xfId="0" applyFont="1" applyBorder="1" applyAlignment="1">
      <alignment horizontal="center" vertical="center"/>
    </xf>
    <xf numFmtId="0" fontId="9" fillId="6" borderId="10" xfId="0" applyFont="1" applyFill="1" applyBorder="1" applyAlignment="1">
      <alignment horizontal="left"/>
    </xf>
    <xf numFmtId="0" fontId="9" fillId="6" borderId="10" xfId="0" applyFont="1" applyFill="1" applyBorder="1" applyAlignment="1">
      <alignment horizontal="center"/>
    </xf>
    <xf numFmtId="4" fontId="8" fillId="0" borderId="10" xfId="3" applyNumberFormat="1" applyFont="1" applyFill="1" applyBorder="1" applyAlignment="1" applyProtection="1">
      <alignment horizontal="center"/>
    </xf>
    <xf numFmtId="4" fontId="8" fillId="0" borderId="10" xfId="2" applyNumberFormat="1" applyFont="1" applyFill="1" applyBorder="1" applyAlignment="1" applyProtection="1">
      <alignment horizontal="center"/>
    </xf>
    <xf numFmtId="0" fontId="35" fillId="0" borderId="25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4" fontId="35" fillId="13" borderId="45" xfId="0" applyNumberFormat="1" applyFont="1" applyFill="1" applyBorder="1" applyAlignment="1">
      <alignment horizontal="center" vertical="center"/>
    </xf>
    <xf numFmtId="0" fontId="35" fillId="3" borderId="45" xfId="0" applyFont="1" applyFill="1" applyBorder="1" applyAlignment="1">
      <alignment horizontal="center" vertical="center"/>
    </xf>
    <xf numFmtId="0" fontId="35" fillId="3" borderId="25" xfId="0" applyFont="1" applyFill="1" applyBorder="1" applyAlignment="1">
      <alignment horizontal="center" vertical="center"/>
    </xf>
    <xf numFmtId="0" fontId="35" fillId="3" borderId="2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4" borderId="11" xfId="0" applyFont="1" applyFill="1" applyBorder="1" applyAlignment="1"/>
    <xf numFmtId="0" fontId="21" fillId="0" borderId="14" xfId="0" applyFont="1" applyBorder="1" applyAlignment="1"/>
    <xf numFmtId="0" fontId="22" fillId="0" borderId="16" xfId="0" applyFont="1" applyBorder="1" applyAlignment="1"/>
    <xf numFmtId="0" fontId="22" fillId="0" borderId="42" xfId="0" applyFont="1" applyBorder="1" applyAlignment="1"/>
    <xf numFmtId="0" fontId="22" fillId="0" borderId="1" xfId="0" applyFont="1" applyBorder="1" applyAlignment="1"/>
    <xf numFmtId="0" fontId="22" fillId="0" borderId="0" xfId="0" applyFont="1" applyBorder="1" applyAlignment="1"/>
    <xf numFmtId="0" fontId="21" fillId="4" borderId="13" xfId="0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4" fontId="21" fillId="0" borderId="1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2" fontId="22" fillId="0" borderId="1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0" fontId="21" fillId="12" borderId="0" xfId="0" applyFont="1" applyFill="1" applyBorder="1" applyAlignment="1">
      <alignment horizontal="center"/>
    </xf>
    <xf numFmtId="2" fontId="21" fillId="12" borderId="0" xfId="0" applyNumberFormat="1" applyFont="1" applyFill="1" applyBorder="1" applyAlignment="1">
      <alignment horizontal="center"/>
    </xf>
    <xf numFmtId="0" fontId="21" fillId="12" borderId="1" xfId="0" applyFont="1" applyFill="1" applyBorder="1" applyAlignment="1">
      <alignment horizontal="center"/>
    </xf>
    <xf numFmtId="2" fontId="21" fillId="12" borderId="1" xfId="0" applyNumberFormat="1" applyFont="1" applyFill="1" applyBorder="1" applyAlignment="1">
      <alignment horizontal="center"/>
    </xf>
    <xf numFmtId="0" fontId="22" fillId="12" borderId="0" xfId="0" applyFont="1" applyFill="1" applyBorder="1" applyAlignment="1">
      <alignment wrapText="1"/>
    </xf>
    <xf numFmtId="0" fontId="7" fillId="0" borderId="1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166" fontId="3" fillId="3" borderId="10" xfId="0" applyNumberFormat="1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right"/>
    </xf>
    <xf numFmtId="165" fontId="3" fillId="0" borderId="10" xfId="0" applyNumberFormat="1" applyFont="1" applyFill="1" applyBorder="1" applyAlignment="1">
      <alignment horizontal="right"/>
    </xf>
    <xf numFmtId="165" fontId="13" fillId="0" borderId="10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167" fontId="13" fillId="0" borderId="10" xfId="0" applyNumberFormat="1" applyFont="1" applyFill="1" applyBorder="1" applyAlignment="1">
      <alignment horizontal="center"/>
    </xf>
    <xf numFmtId="3" fontId="13" fillId="0" borderId="10" xfId="0" applyNumberFormat="1" applyFont="1" applyFill="1" applyBorder="1" applyAlignment="1">
      <alignment horizontal="right"/>
    </xf>
    <xf numFmtId="168" fontId="8" fillId="0" borderId="10" xfId="0" applyNumberFormat="1" applyFont="1" applyFill="1" applyBorder="1" applyAlignment="1">
      <alignment horizontal="center"/>
    </xf>
    <xf numFmtId="166" fontId="13" fillId="3" borderId="10" xfId="0" applyNumberFormat="1" applyFont="1" applyFill="1" applyBorder="1" applyAlignment="1">
      <alignment horizontal="center"/>
    </xf>
    <xf numFmtId="165" fontId="13" fillId="3" borderId="10" xfId="0" applyNumberFormat="1" applyFont="1" applyFill="1" applyBorder="1" applyAlignment="1">
      <alignment horizontal="right"/>
    </xf>
    <xf numFmtId="2" fontId="27" fillId="0" borderId="26" xfId="0" applyNumberFormat="1" applyFont="1" applyFill="1" applyBorder="1" applyAlignment="1"/>
    <xf numFmtId="0" fontId="8" fillId="6" borderId="10" xfId="0" applyFont="1" applyFill="1" applyBorder="1" applyAlignment="1"/>
    <xf numFmtId="0" fontId="8" fillId="0" borderId="10" xfId="0" applyFont="1" applyFill="1" applyBorder="1" applyAlignment="1"/>
    <xf numFmtId="0" fontId="8" fillId="0" borderId="10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wrapText="1"/>
    </xf>
    <xf numFmtId="0" fontId="3" fillId="0" borderId="10" xfId="0" applyFont="1" applyFill="1" applyBorder="1" applyAlignment="1">
      <alignment horizontal="left" wrapText="1"/>
    </xf>
    <xf numFmtId="2" fontId="3" fillId="0" borderId="10" xfId="0" applyNumberFormat="1" applyFont="1" applyFill="1" applyBorder="1" applyAlignment="1">
      <alignment wrapText="1"/>
    </xf>
    <xf numFmtId="2" fontId="9" fillId="6" borderId="10" xfId="0" applyNumberFormat="1" applyFont="1" applyFill="1" applyBorder="1" applyAlignment="1">
      <alignment horizontal="center"/>
    </xf>
    <xf numFmtId="2" fontId="13" fillId="0" borderId="37" xfId="0" applyNumberFormat="1" applyFont="1" applyFill="1" applyBorder="1" applyAlignment="1">
      <alignment horizontal="center"/>
    </xf>
    <xf numFmtId="2" fontId="9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left"/>
    </xf>
    <xf numFmtId="0" fontId="8" fillId="3" borderId="10" xfId="0" applyFont="1" applyFill="1" applyBorder="1" applyAlignment="1"/>
    <xf numFmtId="0" fontId="8" fillId="3" borderId="10" xfId="0" applyFont="1" applyFill="1" applyBorder="1" applyAlignment="1">
      <alignment horizontal="center"/>
    </xf>
    <xf numFmtId="2" fontId="8" fillId="3" borderId="10" xfId="0" applyNumberFormat="1" applyFont="1" applyFill="1" applyBorder="1" applyAlignment="1">
      <alignment horizontal="center"/>
    </xf>
    <xf numFmtId="2" fontId="8" fillId="0" borderId="10" xfId="0" applyNumberFormat="1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center"/>
    </xf>
    <xf numFmtId="2" fontId="8" fillId="6" borderId="10" xfId="0" applyNumberFormat="1" applyFont="1" applyFill="1" applyBorder="1" applyAlignment="1">
      <alignment horizontal="center"/>
    </xf>
    <xf numFmtId="2" fontId="8" fillId="0" borderId="10" xfId="0" applyNumberFormat="1" applyFont="1" applyFill="1" applyBorder="1" applyAlignment="1">
      <alignment horizontal="center" wrapText="1"/>
    </xf>
    <xf numFmtId="2" fontId="3" fillId="0" borderId="10" xfId="0" applyNumberFormat="1" applyFont="1" applyFill="1" applyBorder="1" applyAlignment="1">
      <alignment horizontal="center" wrapText="1"/>
    </xf>
    <xf numFmtId="2" fontId="13" fillId="0" borderId="10" xfId="0" applyNumberFormat="1" applyFont="1" applyFill="1" applyBorder="1" applyAlignment="1">
      <alignment horizontal="center" wrapText="1"/>
    </xf>
    <xf numFmtId="2" fontId="22" fillId="0" borderId="10" xfId="0" applyNumberFormat="1" applyFont="1" applyBorder="1" applyAlignment="1">
      <alignment horizontal="center"/>
    </xf>
    <xf numFmtId="166" fontId="3" fillId="3" borderId="12" xfId="0" applyNumberFormat="1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1" fillId="0" borderId="36" xfId="0" applyFont="1" applyBorder="1"/>
    <xf numFmtId="0" fontId="22" fillId="0" borderId="36" xfId="0" applyFont="1" applyBorder="1"/>
    <xf numFmtId="0" fontId="22" fillId="4" borderId="36" xfId="0" applyFont="1" applyFill="1" applyBorder="1"/>
    <xf numFmtId="0" fontId="0" fillId="4" borderId="8" xfId="0" applyFill="1" applyBorder="1"/>
    <xf numFmtId="0" fontId="0" fillId="4" borderId="10" xfId="0" applyFill="1" applyBorder="1" applyAlignment="1">
      <alignment horizontal="center"/>
    </xf>
    <xf numFmtId="2" fontId="48" fillId="0" borderId="10" xfId="0" applyNumberFormat="1" applyFont="1" applyBorder="1" applyAlignment="1">
      <alignment horizontal="center"/>
    </xf>
    <xf numFmtId="2" fontId="21" fillId="4" borderId="10" xfId="0" applyNumberFormat="1" applyFont="1" applyFill="1" applyBorder="1" applyAlignment="1">
      <alignment horizontal="center"/>
    </xf>
    <xf numFmtId="2" fontId="46" fillId="0" borderId="10" xfId="0" applyNumberFormat="1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center" wrapText="1"/>
    </xf>
    <xf numFmtId="2" fontId="47" fillId="0" borderId="10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right"/>
    </xf>
    <xf numFmtId="167" fontId="13" fillId="3" borderId="10" xfId="0" applyNumberFormat="1" applyFont="1" applyFill="1" applyBorder="1" applyAlignment="1">
      <alignment horizontal="center"/>
    </xf>
    <xf numFmtId="3" fontId="13" fillId="3" borderId="10" xfId="0" applyNumberFormat="1" applyFont="1" applyFill="1" applyBorder="1" applyAlignment="1">
      <alignment horizontal="right"/>
    </xf>
    <xf numFmtId="168" fontId="3" fillId="0" borderId="10" xfId="0" applyNumberFormat="1" applyFont="1" applyFill="1" applyBorder="1" applyAlignment="1">
      <alignment horizontal="center"/>
    </xf>
    <xf numFmtId="0" fontId="13" fillId="0" borderId="39" xfId="0" applyFont="1" applyFill="1" applyBorder="1" applyAlignment="1">
      <alignment horizontal="left"/>
    </xf>
    <xf numFmtId="2" fontId="3" fillId="0" borderId="10" xfId="0" applyNumberFormat="1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2" fontId="22" fillId="0" borderId="19" xfId="0" applyNumberFormat="1" applyFont="1" applyBorder="1" applyAlignment="1">
      <alignment horizontal="center"/>
    </xf>
    <xf numFmtId="2" fontId="8" fillId="14" borderId="10" xfId="0" applyNumberFormat="1" applyFont="1" applyFill="1" applyBorder="1" applyAlignment="1">
      <alignment horizontal="center" wrapText="1"/>
    </xf>
    <xf numFmtId="2" fontId="3" fillId="14" borderId="10" xfId="0" applyNumberFormat="1" applyFont="1" applyFill="1" applyBorder="1" applyAlignment="1">
      <alignment horizontal="center" wrapText="1"/>
    </xf>
    <xf numFmtId="2" fontId="13" fillId="14" borderId="10" xfId="0" applyNumberFormat="1" applyFont="1" applyFill="1" applyBorder="1" applyAlignment="1">
      <alignment horizontal="center" wrapText="1"/>
    </xf>
    <xf numFmtId="166" fontId="3" fillId="0" borderId="0" xfId="0" applyNumberFormat="1" applyFont="1" applyFill="1"/>
    <xf numFmtId="0" fontId="0" fillId="9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11" borderId="0" xfId="0" applyFill="1" applyAlignment="1">
      <alignment horizontal="center" wrapText="1"/>
    </xf>
    <xf numFmtId="0" fontId="33" fillId="0" borderId="32" xfId="0" applyFont="1" applyBorder="1" applyAlignment="1">
      <alignment vertical="center"/>
    </xf>
    <xf numFmtId="0" fontId="32" fillId="0" borderId="31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15" fillId="0" borderId="23" xfId="0" applyFont="1" applyFill="1" applyBorder="1" applyAlignment="1">
      <alignment horizontal="center" wrapText="1"/>
    </xf>
    <xf numFmtId="0" fontId="15" fillId="0" borderId="39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164" fontId="23" fillId="5" borderId="0" xfId="0" applyNumberFormat="1" applyFont="1" applyFill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</cellXfs>
  <cellStyles count="4">
    <cellStyle name="Currency [0]_Bal" xfId="3"/>
    <cellStyle name="Normal_Bal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157163</xdr:colOff>
      <xdr:row>14</xdr:row>
      <xdr:rowOff>105073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91063" cy="2638723"/>
        </a:xfrm>
        <a:prstGeom prst="rect">
          <a:avLst/>
        </a:prstGeom>
      </xdr:spPr>
    </xdr:pic>
    <xdr:clientData/>
  </xdr:twoCellAnchor>
  <xdr:twoCellAnchor editAs="oneCell">
    <xdr:from>
      <xdr:col>7</xdr:col>
      <xdr:colOff>395288</xdr:colOff>
      <xdr:row>0</xdr:row>
      <xdr:rowOff>28575</xdr:rowOff>
    </xdr:from>
    <xdr:to>
      <xdr:col>14</xdr:col>
      <xdr:colOff>551921</xdr:colOff>
      <xdr:row>14</xdr:row>
      <xdr:rowOff>133350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9188" y="28575"/>
          <a:ext cx="4690533" cy="2638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128588</xdr:rowOff>
    </xdr:from>
    <xdr:to>
      <xdr:col>6</xdr:col>
      <xdr:colOff>59268</xdr:colOff>
      <xdr:row>27</xdr:row>
      <xdr:rowOff>176214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43213"/>
          <a:ext cx="3945468" cy="2219326"/>
        </a:xfrm>
        <a:prstGeom prst="rect">
          <a:avLst/>
        </a:prstGeom>
      </xdr:spPr>
    </xdr:pic>
    <xdr:clientData/>
  </xdr:twoCellAnchor>
  <xdr:twoCellAnchor editAs="oneCell">
    <xdr:from>
      <xdr:col>6</xdr:col>
      <xdr:colOff>147640</xdr:colOff>
      <xdr:row>15</xdr:row>
      <xdr:rowOff>114301</xdr:rowOff>
    </xdr:from>
    <xdr:to>
      <xdr:col>12</xdr:col>
      <xdr:colOff>333376</xdr:colOff>
      <xdr:row>28</xdr:row>
      <xdr:rowOff>52090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33840" y="2828926"/>
          <a:ext cx="4071936" cy="2290464"/>
        </a:xfrm>
        <a:prstGeom prst="rect">
          <a:avLst/>
        </a:prstGeom>
      </xdr:spPr>
    </xdr:pic>
    <xdr:clientData/>
  </xdr:twoCellAnchor>
  <xdr:twoCellAnchor editAs="oneCell">
    <xdr:from>
      <xdr:col>12</xdr:col>
      <xdr:colOff>428625</xdr:colOff>
      <xdr:row>15</xdr:row>
      <xdr:rowOff>123824</xdr:rowOff>
    </xdr:from>
    <xdr:to>
      <xdr:col>18</xdr:col>
      <xdr:colOff>631828</xdr:colOff>
      <xdr:row>28</xdr:row>
      <xdr:rowOff>71438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01025" y="2838449"/>
          <a:ext cx="4089403" cy="2300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&#1055;&#1088;&#1077;&#1076;&#1084;&#1077;&#1090;&#1080;\02_&#1041;&#1102;&#1076;&#1078;&#1077;&#1090;&#1091;&#1074;&#1072;&#1085;&#1085;&#1103;%20&#1076;&#1110;&#1103;&#1083;&#1100;&#1085;&#1086;&#1089;&#1090;&#1110;%20&#1087;&#1110;&#1076;&#1087;&#1088;&#1080;&#1108;&#1084;&#1089;&#1090;&#1074;\3_&#1060;&#1110;&#1085;&#1072;&#1085;&#1089;&#1086;&#1074;&#1072;%20&#1084;&#1086;&#1076;&#1077;&#1083;&#1100;\&#1047;&#1072;&#1074;&#1076;&#1072;&#1085;&#1103;&#1085;%202_&#1060;&#1110;&#1085;&#1072;&#1085;&#1089;&#1086;&#1074;&#1072;%20&#1084;&#1086;&#1076;&#1077;&#1083;&#1100;%20(&#1087;&#1088;&#1080;&#1082;&#1083;&#1072;&#1076;%20202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0;&#1091;&#1088;&#1089;&#1086;&#1088;%20&#1041;&#1102;&#1076;&#1078;&#1077;&#1090;&#1091;&#1074;&#1072;&#1085;&#1085;&#1103;\4%20&#1058;&#1077;&#1084;&#1072;\%20Byudzhe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 етапів"/>
      <sheetName val="Параметри"/>
      <sheetName val="Довідник"/>
      <sheetName val="Budget"/>
      <sheetName val="ВПР"/>
      <sheetName val="Лист1"/>
    </sheetNames>
    <sheetDataSet>
      <sheetData sheetId="0" refreshError="1"/>
      <sheetData sheetId="1">
        <row r="11">
          <cell r="A11">
            <v>0.7</v>
          </cell>
        </row>
        <row r="12">
          <cell r="A12">
            <v>0.3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 продаж"/>
      <sheetName val="Б производства"/>
      <sheetName val="Ан производства"/>
      <sheetName val="Б мат-лы"/>
      <sheetName val="Ан мат-лы"/>
      <sheetName val="Б зар.пл."/>
      <sheetName val="Ан зар.пл."/>
      <sheetName val="Б ОПР"/>
      <sheetName val="Ан ОПР"/>
      <sheetName val="Б произ.себ-ти"/>
      <sheetName val="Б КР"/>
      <sheetName val="Б ОХР"/>
      <sheetName val="БДР"/>
      <sheetName val="БДРанал"/>
      <sheetName val="БДДС"/>
      <sheetName val="ББЛ + Ан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A9" t="str">
            <v xml:space="preserve">Амортизация оборудования, </v>
          </cell>
        </row>
        <row r="10">
          <cell r="A10" t="str">
            <v>Уборка производственных помещений,</v>
          </cell>
        </row>
        <row r="11">
          <cell r="A11" t="str">
            <v xml:space="preserve">Страхование имущества, </v>
          </cell>
        </row>
        <row r="12">
          <cell r="A12" t="str">
            <v xml:space="preserve">Прочие ОПР,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D6" sqref="D6"/>
    </sheetView>
  </sheetViews>
  <sheetFormatPr defaultRowHeight="14.4" x14ac:dyDescent="0.3"/>
  <sheetData>
    <row r="2" spans="1:1" x14ac:dyDescent="0.3">
      <c r="A2" t="s">
        <v>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B4" sqref="B4"/>
    </sheetView>
  </sheetViews>
  <sheetFormatPr defaultRowHeight="14.4" x14ac:dyDescent="0.3"/>
  <cols>
    <col min="1" max="1" width="16.33203125" customWidth="1"/>
  </cols>
  <sheetData>
    <row r="2" spans="1:7" x14ac:dyDescent="0.3">
      <c r="A2" s="27" t="s">
        <v>246</v>
      </c>
      <c r="B2" s="278">
        <v>0.2</v>
      </c>
      <c r="D2" s="438" t="s">
        <v>247</v>
      </c>
      <c r="E2" s="438"/>
      <c r="F2" s="438"/>
      <c r="G2" s="438"/>
    </row>
    <row r="3" spans="1:7" x14ac:dyDescent="0.3">
      <c r="A3" s="27" t="s">
        <v>134</v>
      </c>
      <c r="B3" s="278">
        <v>0.22</v>
      </c>
      <c r="D3" s="438"/>
      <c r="E3" s="438"/>
      <c r="F3" s="438"/>
      <c r="G3" s="438"/>
    </row>
    <row r="4" spans="1:7" x14ac:dyDescent="0.3">
      <c r="A4" s="27" t="s">
        <v>248</v>
      </c>
      <c r="B4" s="278">
        <v>0.18</v>
      </c>
      <c r="D4" s="438"/>
      <c r="E4" s="438"/>
      <c r="F4" s="438"/>
      <c r="G4" s="438"/>
    </row>
    <row r="5" spans="1:7" x14ac:dyDescent="0.3">
      <c r="D5" s="438"/>
      <c r="E5" s="438"/>
      <c r="F5" s="438"/>
      <c r="G5" s="438"/>
    </row>
    <row r="7" spans="1:7" x14ac:dyDescent="0.3">
      <c r="A7" s="27"/>
      <c r="B7" s="27"/>
      <c r="C7" s="27" t="s">
        <v>299</v>
      </c>
    </row>
    <row r="8" spans="1:7" x14ac:dyDescent="0.3">
      <c r="A8" s="27" t="s">
        <v>256</v>
      </c>
      <c r="B8" s="27"/>
      <c r="C8" s="279" t="s">
        <v>257</v>
      </c>
    </row>
    <row r="9" spans="1:7" x14ac:dyDescent="0.3">
      <c r="A9" s="27" t="s">
        <v>258</v>
      </c>
      <c r="B9" s="27"/>
      <c r="C9" s="280" t="s">
        <v>261</v>
      </c>
    </row>
    <row r="10" spans="1:7" x14ac:dyDescent="0.3">
      <c r="A10" s="27" t="s">
        <v>259</v>
      </c>
      <c r="B10" s="27"/>
      <c r="C10" s="27" t="s">
        <v>260</v>
      </c>
    </row>
  </sheetData>
  <mergeCells count="1">
    <mergeCell ref="D2:G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6"/>
  <sheetViews>
    <sheetView tabSelected="1" zoomScale="84" zoomScaleNormal="84" workbookViewId="0">
      <selection activeCell="B412" sqref="B412"/>
    </sheetView>
  </sheetViews>
  <sheetFormatPr defaultRowHeight="14.4" x14ac:dyDescent="0.3"/>
  <cols>
    <col min="1" max="1" width="14.33203125" customWidth="1"/>
    <col min="2" max="2" width="64.109375" customWidth="1"/>
    <col min="3" max="6" width="18" customWidth="1"/>
    <col min="7" max="7" width="18.88671875" customWidth="1"/>
    <col min="8" max="8" width="18" customWidth="1"/>
    <col min="9" max="9" width="15.44140625" customWidth="1"/>
    <col min="14" max="14" width="9" customWidth="1"/>
  </cols>
  <sheetData>
    <row r="2" spans="1:8" ht="20.399999999999999" x14ac:dyDescent="0.35">
      <c r="A2" s="1" t="s">
        <v>0</v>
      </c>
      <c r="B2" s="2"/>
      <c r="C2" s="2"/>
      <c r="D2" s="2"/>
      <c r="E2" s="2"/>
      <c r="F2" s="2"/>
      <c r="G2" s="2"/>
      <c r="H2" s="2"/>
    </row>
    <row r="3" spans="1:8" ht="20.399999999999999" x14ac:dyDescent="0.35">
      <c r="A3" s="1" t="s">
        <v>1</v>
      </c>
      <c r="B3" s="2"/>
      <c r="C3" s="2"/>
      <c r="D3" s="2"/>
      <c r="E3" s="2"/>
      <c r="F3" s="2"/>
      <c r="G3" s="2"/>
      <c r="H3" s="2"/>
    </row>
    <row r="4" spans="1:8" ht="18" x14ac:dyDescent="0.35">
      <c r="A4" s="3"/>
      <c r="B4" s="4"/>
      <c r="C4" s="4"/>
      <c r="D4" s="4"/>
      <c r="E4" s="2"/>
      <c r="F4" s="2"/>
      <c r="G4" s="2"/>
      <c r="H4" s="2"/>
    </row>
    <row r="5" spans="1:8" ht="18" x14ac:dyDescent="0.35">
      <c r="A5" s="5" t="s">
        <v>2</v>
      </c>
      <c r="B5" s="4"/>
      <c r="C5" s="4"/>
      <c r="D5" s="4"/>
      <c r="E5" s="2"/>
      <c r="F5" s="2"/>
      <c r="G5" s="2"/>
      <c r="H5" s="2"/>
    </row>
    <row r="6" spans="1:8" ht="18" x14ac:dyDescent="0.35">
      <c r="A6" s="284"/>
      <c r="B6" s="51" t="s">
        <v>3</v>
      </c>
      <c r="C6" s="4"/>
      <c r="D6" s="4"/>
      <c r="E6" s="2"/>
      <c r="F6" s="2"/>
      <c r="G6" s="2"/>
      <c r="H6" s="2"/>
    </row>
    <row r="7" spans="1:8" ht="17.399999999999999" x14ac:dyDescent="0.3">
      <c r="A7" s="50" t="s">
        <v>4</v>
      </c>
      <c r="B7" s="50"/>
      <c r="C7" s="8"/>
      <c r="D7" s="8"/>
      <c r="E7" s="9"/>
      <c r="F7" s="9"/>
      <c r="G7" s="9"/>
      <c r="H7" s="9"/>
    </row>
    <row r="8" spans="1:8" ht="17.399999999999999" x14ac:dyDescent="0.3">
      <c r="A8" s="50" t="s">
        <v>5</v>
      </c>
      <c r="B8" s="50"/>
      <c r="C8" s="8"/>
      <c r="D8" s="8"/>
      <c r="E8" s="9"/>
      <c r="F8" s="9"/>
      <c r="G8" s="9"/>
      <c r="H8" s="9"/>
    </row>
    <row r="9" spans="1:8" ht="17.399999999999999" x14ac:dyDescent="0.3">
      <c r="A9" s="252">
        <v>1000</v>
      </c>
      <c r="B9" s="182" t="s">
        <v>6</v>
      </c>
      <c r="C9" s="11"/>
      <c r="D9" s="11"/>
      <c r="E9" s="11"/>
      <c r="F9" s="9"/>
      <c r="G9" s="9"/>
      <c r="H9" s="9"/>
    </row>
    <row r="10" spans="1:8" ht="17.399999999999999" x14ac:dyDescent="0.3">
      <c r="A10" s="252">
        <v>2000</v>
      </c>
      <c r="B10" s="182" t="s">
        <v>7</v>
      </c>
      <c r="C10" s="11"/>
      <c r="D10" s="11"/>
      <c r="E10" s="11"/>
      <c r="F10" s="9"/>
      <c r="G10" s="9"/>
      <c r="H10" s="9"/>
    </row>
    <row r="11" spans="1:8" ht="17.399999999999999" x14ac:dyDescent="0.3">
      <c r="A11" s="252">
        <v>25</v>
      </c>
      <c r="B11" s="182" t="s">
        <v>8</v>
      </c>
      <c r="C11" s="11"/>
      <c r="D11" s="11"/>
      <c r="E11" s="11"/>
      <c r="F11" s="9"/>
      <c r="G11" s="9"/>
      <c r="H11" s="9"/>
    </row>
    <row r="12" spans="1:8" ht="17.399999999999999" x14ac:dyDescent="0.3">
      <c r="A12" s="252">
        <v>30</v>
      </c>
      <c r="B12" s="182" t="s">
        <v>9</v>
      </c>
      <c r="C12" s="11"/>
      <c r="D12" s="11"/>
      <c r="E12" s="11"/>
      <c r="F12" s="9"/>
      <c r="G12" s="9"/>
      <c r="H12" s="9"/>
    </row>
    <row r="13" spans="1:8" ht="17.399999999999999" x14ac:dyDescent="0.3">
      <c r="A13" s="253">
        <v>0.01</v>
      </c>
      <c r="B13" s="182" t="s">
        <v>249</v>
      </c>
      <c r="C13" s="11"/>
      <c r="D13" s="11"/>
      <c r="E13" s="11"/>
      <c r="F13" s="9"/>
      <c r="G13" s="9"/>
      <c r="H13" s="9"/>
    </row>
    <row r="14" spans="1:8" ht="17.399999999999999" x14ac:dyDescent="0.3">
      <c r="A14" s="253">
        <v>0.02</v>
      </c>
      <c r="B14" s="182" t="s">
        <v>250</v>
      </c>
      <c r="C14" s="11"/>
      <c r="D14" s="11"/>
      <c r="E14" s="11"/>
      <c r="F14" s="9"/>
      <c r="G14" s="9"/>
      <c r="H14" s="9"/>
    </row>
    <row r="15" spans="1:8" ht="17.399999999999999" x14ac:dyDescent="0.3">
      <c r="A15" s="253">
        <v>0.03</v>
      </c>
      <c r="B15" s="182" t="s">
        <v>251</v>
      </c>
      <c r="C15" s="11"/>
      <c r="D15" s="11"/>
      <c r="E15" s="11"/>
      <c r="F15" s="9"/>
      <c r="G15" s="9"/>
      <c r="H15" s="9"/>
    </row>
    <row r="16" spans="1:8" ht="17.399999999999999" x14ac:dyDescent="0.3">
      <c r="A16" s="253">
        <v>0.04</v>
      </c>
      <c r="B16" s="182" t="s">
        <v>252</v>
      </c>
      <c r="C16" s="11"/>
      <c r="D16" s="11"/>
      <c r="E16" s="11"/>
      <c r="F16" s="9"/>
      <c r="G16" s="9"/>
      <c r="H16" s="9"/>
    </row>
    <row r="17" spans="1:9" ht="17.399999999999999" x14ac:dyDescent="0.3">
      <c r="A17" s="253">
        <v>0.7</v>
      </c>
      <c r="B17" s="182" t="s">
        <v>10</v>
      </c>
      <c r="C17" s="11"/>
      <c r="D17" s="11"/>
      <c r="E17" s="11"/>
      <c r="F17" s="9"/>
      <c r="G17" s="9"/>
      <c r="H17" s="9"/>
    </row>
    <row r="18" spans="1:9" ht="18" x14ac:dyDescent="0.35">
      <c r="A18" s="254">
        <v>0.3</v>
      </c>
      <c r="B18" s="13" t="s">
        <v>11</v>
      </c>
      <c r="C18" s="12"/>
      <c r="D18" s="13"/>
      <c r="E18" s="13"/>
      <c r="F18" s="2"/>
      <c r="G18" s="2"/>
      <c r="H18" s="2"/>
    </row>
    <row r="19" spans="1:9" ht="18.600000000000001" thickBot="1" x14ac:dyDescent="0.4">
      <c r="B19" s="14" t="s">
        <v>12</v>
      </c>
      <c r="C19" s="14"/>
      <c r="D19" s="15"/>
      <c r="E19" s="16"/>
      <c r="F19" s="17"/>
      <c r="G19" s="14"/>
      <c r="H19" s="17"/>
    </row>
    <row r="20" spans="1:9" ht="15.6" x14ac:dyDescent="0.3">
      <c r="B20" s="18" t="s">
        <v>13</v>
      </c>
      <c r="C20" s="18" t="s">
        <v>14</v>
      </c>
      <c r="D20" s="19"/>
      <c r="E20" s="19" t="s">
        <v>15</v>
      </c>
      <c r="F20" s="20"/>
      <c r="G20" s="20"/>
      <c r="H20" s="18" t="s">
        <v>16</v>
      </c>
    </row>
    <row r="21" spans="1:9" ht="16.2" thickBot="1" x14ac:dyDescent="0.35">
      <c r="B21" s="23"/>
      <c r="C21" s="23" t="s">
        <v>17</v>
      </c>
      <c r="D21" s="24" t="s">
        <v>18</v>
      </c>
      <c r="E21" s="25" t="s">
        <v>19</v>
      </c>
      <c r="F21" s="25" t="s">
        <v>20</v>
      </c>
      <c r="G21" s="26" t="s">
        <v>21</v>
      </c>
      <c r="H21" s="23" t="s">
        <v>22</v>
      </c>
    </row>
    <row r="22" spans="1:9" ht="15.6" x14ac:dyDescent="0.3">
      <c r="B22" s="168" t="s">
        <v>23</v>
      </c>
      <c r="C22" s="231"/>
      <c r="D22" s="231"/>
      <c r="E22" s="231"/>
      <c r="F22" s="231"/>
      <c r="G22" s="231"/>
      <c r="H22" s="232"/>
    </row>
    <row r="23" spans="1:9" ht="15.6" x14ac:dyDescent="0.3">
      <c r="B23" s="151" t="s">
        <v>24</v>
      </c>
      <c r="C23" s="233" t="s">
        <v>29</v>
      </c>
      <c r="D23" s="432">
        <f>A9</f>
        <v>1000</v>
      </c>
      <c r="E23" s="233">
        <f>INT(D$23*(1+$A$13))</f>
        <v>1010</v>
      </c>
      <c r="F23" s="233">
        <f t="shared" ref="F23:G23" si="0">INT(E$23*(1+$A$15))</f>
        <v>1040</v>
      </c>
      <c r="G23" s="233">
        <f t="shared" si="0"/>
        <v>1071</v>
      </c>
      <c r="H23" s="365">
        <f>SUM(D23:G23)</f>
        <v>4121</v>
      </c>
    </row>
    <row r="24" spans="1:9" ht="15.6" x14ac:dyDescent="0.3">
      <c r="B24" s="151" t="s">
        <v>25</v>
      </c>
      <c r="C24" s="233" t="s">
        <v>28</v>
      </c>
      <c r="D24" s="432">
        <f>A11</f>
        <v>25</v>
      </c>
      <c r="E24" s="365">
        <f>D24*(1+$A$13)</f>
        <v>25.25</v>
      </c>
      <c r="F24" s="365">
        <f t="shared" ref="F24:G24" si="1">E24*(1+$A$13)</f>
        <v>25.502500000000001</v>
      </c>
      <c r="G24" s="365">
        <f t="shared" si="1"/>
        <v>25.757525000000001</v>
      </c>
      <c r="H24" s="365">
        <f>SUM(D24:G24)</f>
        <v>101.510025</v>
      </c>
    </row>
    <row r="25" spans="1:9" ht="16.2" thickBot="1" x14ac:dyDescent="0.35">
      <c r="B25" s="234" t="s">
        <v>26</v>
      </c>
      <c r="C25" s="235" t="s">
        <v>28</v>
      </c>
      <c r="D25" s="235">
        <f>D23*D24</f>
        <v>25000</v>
      </c>
      <c r="E25" s="235">
        <f t="shared" ref="E25:G25" si="2">E23*E24</f>
        <v>25502.5</v>
      </c>
      <c r="F25" s="235">
        <f t="shared" si="2"/>
        <v>26522.600000000002</v>
      </c>
      <c r="G25" s="235">
        <f t="shared" si="2"/>
        <v>27586.309275</v>
      </c>
      <c r="H25" s="365">
        <f>SUM(D25:G25)</f>
        <v>104611.40927500001</v>
      </c>
    </row>
    <row r="26" spans="1:9" ht="15.6" x14ac:dyDescent="0.3">
      <c r="B26" s="168" t="s">
        <v>27</v>
      </c>
      <c r="C26" s="236"/>
      <c r="D26" s="236"/>
      <c r="E26" s="236"/>
      <c r="F26" s="236"/>
      <c r="G26" s="236"/>
      <c r="H26" s="364"/>
    </row>
    <row r="27" spans="1:9" ht="15.6" x14ac:dyDescent="0.3">
      <c r="B27" s="151" t="s">
        <v>24</v>
      </c>
      <c r="C27" s="233" t="s">
        <v>29</v>
      </c>
      <c r="D27" s="432">
        <f>A10</f>
        <v>2000</v>
      </c>
      <c r="E27" s="233">
        <f>INT(D$27*(1+$A$16))</f>
        <v>2080</v>
      </c>
      <c r="F27" s="233">
        <f t="shared" ref="F27:H27" si="3">INT(E$27*(1+$A$16))</f>
        <v>2163</v>
      </c>
      <c r="G27" s="233">
        <f t="shared" si="3"/>
        <v>2249</v>
      </c>
      <c r="H27" s="233">
        <f t="shared" si="3"/>
        <v>2338</v>
      </c>
    </row>
    <row r="28" spans="1:9" ht="15.6" x14ac:dyDescent="0.3">
      <c r="B28" s="151" t="s">
        <v>25</v>
      </c>
      <c r="C28" s="233" t="s">
        <v>28</v>
      </c>
      <c r="D28" s="432">
        <f>A12</f>
        <v>30</v>
      </c>
      <c r="E28" s="233">
        <f>D28*(1+$A$14)</f>
        <v>30.6</v>
      </c>
      <c r="F28" s="233">
        <f t="shared" ref="F28:G28" si="4">E28*(1+$A$14)</f>
        <v>31.212000000000003</v>
      </c>
      <c r="G28" s="233">
        <f t="shared" si="4"/>
        <v>31.836240000000004</v>
      </c>
      <c r="H28" s="233">
        <f>SUM(D28:G28)</f>
        <v>123.64824000000002</v>
      </c>
    </row>
    <row r="29" spans="1:9" ht="16.2" thickBot="1" x14ac:dyDescent="0.35">
      <c r="B29" s="234" t="s">
        <v>26</v>
      </c>
      <c r="C29" s="235" t="s">
        <v>28</v>
      </c>
      <c r="D29" s="235">
        <f>D27*D28</f>
        <v>60000</v>
      </c>
      <c r="E29" s="235">
        <f t="shared" ref="E29:G29" si="5">E27*E28</f>
        <v>63648</v>
      </c>
      <c r="F29" s="235">
        <f t="shared" si="5"/>
        <v>67511.556000000011</v>
      </c>
      <c r="G29" s="235">
        <f t="shared" si="5"/>
        <v>71599.703760000004</v>
      </c>
      <c r="H29" s="233">
        <f>SUM(D29:G29)</f>
        <v>262759.25976000004</v>
      </c>
    </row>
    <row r="30" spans="1:9" ht="16.2" thickBot="1" x14ac:dyDescent="0.35">
      <c r="B30" s="237" t="s">
        <v>30</v>
      </c>
      <c r="C30" s="238" t="s">
        <v>28</v>
      </c>
      <c r="D30" s="433">
        <f>D25+D29</f>
        <v>85000</v>
      </c>
      <c r="E30" s="433">
        <f t="shared" ref="E30:H30" si="6">E25+E29</f>
        <v>89150.5</v>
      </c>
      <c r="F30" s="433">
        <f t="shared" si="6"/>
        <v>94034.156000000017</v>
      </c>
      <c r="G30" s="433">
        <f t="shared" si="6"/>
        <v>99186.013035000011</v>
      </c>
      <c r="H30" s="433">
        <f t="shared" si="6"/>
        <v>367370.66903500003</v>
      </c>
      <c r="I30" t="s">
        <v>255</v>
      </c>
    </row>
    <row r="31" spans="1:9" ht="18" thickBot="1" x14ac:dyDescent="0.35">
      <c r="B31" s="28"/>
      <c r="C31" s="29" t="s">
        <v>31</v>
      </c>
      <c r="D31" s="30"/>
      <c r="E31" s="30"/>
      <c r="F31" s="30"/>
      <c r="G31" s="30"/>
      <c r="H31" s="31"/>
    </row>
    <row r="32" spans="1:9" ht="15.6" x14ac:dyDescent="0.3">
      <c r="B32" s="18" t="s">
        <v>13</v>
      </c>
      <c r="C32" s="32"/>
      <c r="D32" s="33"/>
      <c r="E32" s="33" t="s">
        <v>15</v>
      </c>
      <c r="F32" s="34"/>
      <c r="G32" s="20" t="s">
        <v>32</v>
      </c>
      <c r="H32" s="18" t="s">
        <v>16</v>
      </c>
    </row>
    <row r="33" spans="2:14" ht="16.2" thickBot="1" x14ac:dyDescent="0.35">
      <c r="B33" s="21"/>
      <c r="C33" s="35" t="s">
        <v>18</v>
      </c>
      <c r="D33" s="22" t="s">
        <v>19</v>
      </c>
      <c r="E33" s="22" t="s">
        <v>20</v>
      </c>
      <c r="F33" s="22" t="s">
        <v>21</v>
      </c>
      <c r="G33" s="36" t="s">
        <v>18</v>
      </c>
      <c r="H33" s="21" t="s">
        <v>22</v>
      </c>
    </row>
    <row r="34" spans="2:14" ht="15.6" x14ac:dyDescent="0.3">
      <c r="B34" s="37" t="s">
        <v>46</v>
      </c>
      <c r="C34" s="38"/>
      <c r="D34" s="39"/>
      <c r="E34" s="40"/>
      <c r="F34" s="40"/>
      <c r="G34" s="40"/>
      <c r="H34" s="41"/>
      <c r="J34" s="438" t="s">
        <v>262</v>
      </c>
      <c r="K34" s="438"/>
      <c r="L34" s="438"/>
      <c r="M34" s="438"/>
      <c r="N34" s="438"/>
    </row>
    <row r="35" spans="2:14" ht="16.2" thickBot="1" x14ac:dyDescent="0.35">
      <c r="B35" s="37" t="s">
        <v>33</v>
      </c>
      <c r="C35" s="67">
        <f>D30*(1+ПДВ)</f>
        <v>102000</v>
      </c>
      <c r="D35" s="67">
        <f>E30*(1+ПДВ)</f>
        <v>106980.59999999999</v>
      </c>
      <c r="E35" s="67">
        <f>F30*(1+ПДВ)</f>
        <v>112840.98720000002</v>
      </c>
      <c r="F35" s="67">
        <f>G30*(1+ПДВ)</f>
        <v>119023.21564200001</v>
      </c>
      <c r="G35" s="255" t="s">
        <v>34</v>
      </c>
      <c r="H35" s="68">
        <f>SUM(C35:F35)</f>
        <v>440844.80284200003</v>
      </c>
      <c r="J35" s="438"/>
      <c r="K35" s="438"/>
      <c r="L35" s="438"/>
      <c r="M35" s="438"/>
      <c r="N35" s="438"/>
    </row>
    <row r="36" spans="2:14" ht="15.6" x14ac:dyDescent="0.3">
      <c r="B36" s="42" t="s">
        <v>35</v>
      </c>
      <c r="C36" s="144"/>
      <c r="D36" s="145"/>
      <c r="E36" s="145"/>
      <c r="F36" s="145"/>
      <c r="G36" s="145"/>
      <c r="H36" s="256"/>
      <c r="J36" s="438"/>
      <c r="K36" s="438"/>
      <c r="L36" s="438"/>
      <c r="M36" s="438"/>
      <c r="N36" s="438"/>
    </row>
    <row r="37" spans="2:14" ht="16.2" thickBot="1" x14ac:dyDescent="0.35">
      <c r="B37" s="37" t="s">
        <v>36</v>
      </c>
      <c r="C37" s="66">
        <v>0</v>
      </c>
      <c r="D37" s="67">
        <f>C39</f>
        <v>30600</v>
      </c>
      <c r="E37" s="67">
        <f>D39</f>
        <v>32094.179999999993</v>
      </c>
      <c r="F37" s="67">
        <f>E39</f>
        <v>33852.296160000027</v>
      </c>
      <c r="G37" s="67">
        <f>F39</f>
        <v>35706.964692600042</v>
      </c>
      <c r="H37" s="69" t="s">
        <v>34</v>
      </c>
      <c r="J37" s="438"/>
      <c r="K37" s="438"/>
      <c r="L37" s="438"/>
      <c r="M37" s="438"/>
      <c r="N37" s="438"/>
    </row>
    <row r="38" spans="2:14" ht="15.6" x14ac:dyDescent="0.3">
      <c r="B38" s="42" t="s">
        <v>35</v>
      </c>
      <c r="C38" s="144"/>
      <c r="D38" s="145"/>
      <c r="E38" s="145"/>
      <c r="F38" s="145"/>
      <c r="G38" s="145"/>
      <c r="H38" s="257"/>
      <c r="J38" s="438"/>
      <c r="K38" s="438"/>
      <c r="L38" s="438"/>
      <c r="M38" s="438"/>
      <c r="N38" s="438"/>
    </row>
    <row r="39" spans="2:14" ht="16.2" thickBot="1" x14ac:dyDescent="0.35">
      <c r="B39" s="37" t="s">
        <v>37</v>
      </c>
      <c r="C39" s="67">
        <f>C35+C37-C47</f>
        <v>30600</v>
      </c>
      <c r="D39" s="67">
        <f>D35+D37-D47</f>
        <v>32094.179999999993</v>
      </c>
      <c r="E39" s="67">
        <f>E35+E37-E47</f>
        <v>33852.296160000027</v>
      </c>
      <c r="F39" s="67">
        <f>F35+F37-F47</f>
        <v>35706.964692600042</v>
      </c>
      <c r="G39" s="258" t="s">
        <v>34</v>
      </c>
      <c r="H39" s="69" t="s">
        <v>34</v>
      </c>
      <c r="I39" t="s">
        <v>253</v>
      </c>
    </row>
    <row r="40" spans="2:14" ht="16.2" thickBot="1" x14ac:dyDescent="0.35">
      <c r="B40" s="43" t="s">
        <v>38</v>
      </c>
      <c r="C40" s="70"/>
      <c r="D40" s="71"/>
      <c r="E40" s="71"/>
      <c r="F40" s="70"/>
      <c r="G40" s="70"/>
      <c r="H40" s="72"/>
    </row>
    <row r="41" spans="2:14" ht="15.6" x14ac:dyDescent="0.3">
      <c r="B41" s="44" t="s">
        <v>39</v>
      </c>
      <c r="C41" s="73"/>
      <c r="D41" s="74"/>
      <c r="E41" s="74"/>
      <c r="F41" s="74"/>
      <c r="G41" s="75"/>
      <c r="H41" s="76"/>
    </row>
    <row r="42" spans="2:14" ht="15.6" x14ac:dyDescent="0.3">
      <c r="B42" s="44" t="s">
        <v>40</v>
      </c>
      <c r="C42" s="73">
        <f>C35*$A$17</f>
        <v>71400</v>
      </c>
      <c r="D42" s="73">
        <f>C35*$A$18</f>
        <v>30600</v>
      </c>
      <c r="E42" s="73"/>
      <c r="F42" s="73"/>
      <c r="G42" s="73"/>
      <c r="H42" s="77">
        <f>SUM(C42:G42)</f>
        <v>102000</v>
      </c>
    </row>
    <row r="43" spans="2:14" ht="15.6" x14ac:dyDescent="0.3">
      <c r="B43" s="44" t="s">
        <v>41</v>
      </c>
      <c r="C43" s="73"/>
      <c r="D43" s="73">
        <f>D35*$A$17</f>
        <v>74886.419999999984</v>
      </c>
      <c r="E43" s="73">
        <f>D35*A18</f>
        <v>32094.179999999997</v>
      </c>
      <c r="F43" s="73"/>
      <c r="G43" s="73"/>
      <c r="H43" s="77">
        <f>SUM(C43:G43)</f>
        <v>106980.59999999998</v>
      </c>
    </row>
    <row r="44" spans="2:14" ht="15.6" x14ac:dyDescent="0.3">
      <c r="B44" s="44" t="s">
        <v>42</v>
      </c>
      <c r="C44" s="73"/>
      <c r="D44" s="74"/>
      <c r="E44" s="73">
        <f>+E35*A17</f>
        <v>78988.691040000005</v>
      </c>
      <c r="F44" s="73">
        <f>E35*A18</f>
        <v>33852.296160000005</v>
      </c>
      <c r="G44" s="75"/>
      <c r="H44" s="77">
        <f>SUM(C44:G44)</f>
        <v>112840.9872</v>
      </c>
    </row>
    <row r="45" spans="2:14" ht="16.2" thickBot="1" x14ac:dyDescent="0.35">
      <c r="B45" s="44" t="s">
        <v>43</v>
      </c>
      <c r="C45" s="73"/>
      <c r="D45" s="74"/>
      <c r="E45" s="74"/>
      <c r="F45" s="73">
        <f>F35*A17</f>
        <v>83316.250949399997</v>
      </c>
      <c r="G45" s="73">
        <f>F35*A18</f>
        <v>35706.964692599999</v>
      </c>
      <c r="H45" s="77">
        <f>SUM(C45:G45)</f>
        <v>119023.215642</v>
      </c>
    </row>
    <row r="46" spans="2:14" ht="15.6" x14ac:dyDescent="0.3">
      <c r="B46" s="18" t="s">
        <v>44</v>
      </c>
      <c r="C46" s="144"/>
      <c r="D46" s="145"/>
      <c r="E46" s="145"/>
      <c r="F46" s="145"/>
      <c r="G46" s="146"/>
      <c r="H46" s="147">
        <f>SUM(H41:H45)</f>
        <v>440844.80284199992</v>
      </c>
    </row>
    <row r="47" spans="2:14" ht="16.2" thickBot="1" x14ac:dyDescent="0.35">
      <c r="B47" s="21" t="s">
        <v>45</v>
      </c>
      <c r="C47" s="67">
        <f>SUM(C41:C45)</f>
        <v>71400</v>
      </c>
      <c r="D47" s="67">
        <f>SUM(D41:D45)</f>
        <v>105486.41999999998</v>
      </c>
      <c r="E47" s="67">
        <f>SUM(E41:E45)</f>
        <v>111082.87104</v>
      </c>
      <c r="F47" s="67">
        <f>SUM(F41:F45)</f>
        <v>117168.54710940001</v>
      </c>
      <c r="G47" s="67">
        <f>SUM(G41:G45)</f>
        <v>35706.964692599999</v>
      </c>
      <c r="H47" s="68">
        <f>SUM(C47:G47)</f>
        <v>440844.80284199998</v>
      </c>
      <c r="I47" t="s">
        <v>254</v>
      </c>
    </row>
    <row r="49" spans="1:14" ht="17.399999999999999" x14ac:dyDescent="0.3">
      <c r="A49" s="283"/>
      <c r="B49" s="51" t="s">
        <v>47</v>
      </c>
      <c r="C49" s="2"/>
      <c r="D49" s="2"/>
      <c r="E49" s="2"/>
      <c r="F49" s="2"/>
      <c r="G49" s="2"/>
      <c r="H49" s="2"/>
    </row>
    <row r="50" spans="1:14" ht="18" x14ac:dyDescent="0.35">
      <c r="A50" s="7" t="s">
        <v>48</v>
      </c>
      <c r="B50" s="7"/>
      <c r="C50" s="8"/>
      <c r="D50" s="8"/>
      <c r="E50" s="9"/>
      <c r="F50" s="9"/>
      <c r="G50" s="9"/>
      <c r="H50" s="9"/>
    </row>
    <row r="51" spans="1:14" ht="18" x14ac:dyDescent="0.35">
      <c r="A51" s="7" t="s">
        <v>49</v>
      </c>
      <c r="B51" s="7"/>
      <c r="C51" s="8"/>
      <c r="D51" s="8"/>
      <c r="E51" s="9"/>
      <c r="F51" s="9"/>
      <c r="G51" s="9"/>
      <c r="H51" s="9"/>
    </row>
    <row r="52" spans="1:14" ht="18" x14ac:dyDescent="0.35">
      <c r="A52" s="4" t="s">
        <v>50</v>
      </c>
      <c r="B52" s="4"/>
      <c r="C52" s="2"/>
      <c r="D52" s="2"/>
      <c r="E52" s="2"/>
      <c r="F52" s="2"/>
      <c r="G52" s="2"/>
      <c r="H52" s="2"/>
    </row>
    <row r="53" spans="1:14" ht="48" customHeight="1" x14ac:dyDescent="0.3">
      <c r="A53" s="251">
        <v>0.1</v>
      </c>
      <c r="B53" s="445" t="s">
        <v>51</v>
      </c>
      <c r="C53" s="445"/>
      <c r="D53" s="2"/>
      <c r="E53" s="2"/>
      <c r="F53" s="2"/>
      <c r="G53" s="2"/>
      <c r="H53" s="2"/>
    </row>
    <row r="54" spans="1:14" ht="48" customHeight="1" x14ac:dyDescent="0.3">
      <c r="A54" s="251">
        <v>0.08</v>
      </c>
      <c r="B54" s="445" t="s">
        <v>52</v>
      </c>
      <c r="C54" s="445"/>
      <c r="D54" s="2"/>
      <c r="E54" s="2"/>
      <c r="F54" s="2"/>
      <c r="G54" s="2"/>
      <c r="H54" s="2"/>
    </row>
    <row r="55" spans="1:14" ht="15.6" x14ac:dyDescent="0.3">
      <c r="A55" s="2"/>
      <c r="B55" s="2"/>
      <c r="C55" s="2"/>
      <c r="D55" s="2"/>
      <c r="E55" s="2"/>
      <c r="F55" s="2"/>
      <c r="G55" s="2"/>
      <c r="H55" s="2"/>
    </row>
    <row r="56" spans="1:14" ht="18" x14ac:dyDescent="0.35">
      <c r="A56" s="2"/>
      <c r="B56" s="14" t="s">
        <v>53</v>
      </c>
      <c r="C56" s="14"/>
      <c r="D56" s="15"/>
      <c r="E56" s="16"/>
      <c r="F56" s="17"/>
      <c r="G56" s="14"/>
      <c r="H56" s="17"/>
    </row>
    <row r="57" spans="1:14" ht="15.6" x14ac:dyDescent="0.3">
      <c r="A57" s="2"/>
      <c r="B57" s="118" t="s">
        <v>13</v>
      </c>
      <c r="C57" s="118" t="s">
        <v>14</v>
      </c>
      <c r="D57" s="53"/>
      <c r="E57" s="53" t="s">
        <v>15</v>
      </c>
      <c r="F57" s="118"/>
      <c r="G57" s="118"/>
      <c r="H57" s="118" t="s">
        <v>16</v>
      </c>
    </row>
    <row r="58" spans="1:14" ht="15.6" x14ac:dyDescent="0.3">
      <c r="A58" s="2"/>
      <c r="B58" s="118"/>
      <c r="C58" s="118" t="s">
        <v>17</v>
      </c>
      <c r="D58" s="154" t="s">
        <v>18</v>
      </c>
      <c r="E58" s="154" t="s">
        <v>19</v>
      </c>
      <c r="F58" s="154" t="s">
        <v>20</v>
      </c>
      <c r="G58" s="154" t="s">
        <v>21</v>
      </c>
      <c r="H58" s="118" t="s">
        <v>22</v>
      </c>
    </row>
    <row r="59" spans="1:14" ht="16.2" thickBot="1" x14ac:dyDescent="0.35">
      <c r="B59" s="239" t="s">
        <v>23</v>
      </c>
      <c r="C59" s="419"/>
      <c r="D59" s="419"/>
      <c r="E59" s="419"/>
      <c r="F59" s="419"/>
      <c r="G59" s="419"/>
      <c r="H59" s="419"/>
      <c r="J59" s="439" t="s">
        <v>263</v>
      </c>
      <c r="K59" s="439"/>
      <c r="L59" s="439"/>
      <c r="M59" s="439"/>
      <c r="N59" s="439"/>
    </row>
    <row r="60" spans="1:14" ht="16.2" thickBot="1" x14ac:dyDescent="0.35">
      <c r="B60" s="416" t="s">
        <v>54</v>
      </c>
      <c r="C60" s="315" t="s">
        <v>29</v>
      </c>
      <c r="D60" s="421">
        <f>D23</f>
        <v>1000</v>
      </c>
      <c r="E60" s="421">
        <f t="shared" ref="E60:H60" si="7">E23</f>
        <v>1010</v>
      </c>
      <c r="F60" s="421">
        <f t="shared" si="7"/>
        <v>1040</v>
      </c>
      <c r="G60" s="421">
        <f t="shared" si="7"/>
        <v>1071</v>
      </c>
      <c r="H60" s="322">
        <f t="shared" si="7"/>
        <v>4121</v>
      </c>
      <c r="J60" s="439"/>
      <c r="K60" s="439"/>
      <c r="L60" s="439"/>
      <c r="M60" s="439"/>
      <c r="N60" s="439"/>
    </row>
    <row r="61" spans="1:14" ht="16.2" thickBot="1" x14ac:dyDescent="0.35">
      <c r="B61" s="416" t="s">
        <v>55</v>
      </c>
      <c r="C61" s="315" t="s">
        <v>29</v>
      </c>
      <c r="D61" s="322">
        <v>0</v>
      </c>
      <c r="E61" s="322">
        <f>D62</f>
        <v>100</v>
      </c>
      <c r="F61" s="322">
        <f>E62</f>
        <v>101</v>
      </c>
      <c r="G61" s="322">
        <f>F62</f>
        <v>104</v>
      </c>
      <c r="H61" s="322" t="s">
        <v>34</v>
      </c>
      <c r="J61" s="439"/>
      <c r="K61" s="439"/>
      <c r="L61" s="439"/>
      <c r="M61" s="439"/>
      <c r="N61" s="439"/>
    </row>
    <row r="62" spans="1:14" ht="16.2" thickBot="1" x14ac:dyDescent="0.35">
      <c r="B62" s="416" t="s">
        <v>56</v>
      </c>
      <c r="C62" s="315" t="s">
        <v>29</v>
      </c>
      <c r="D62" s="322">
        <f>INT(D60*$A$53)</f>
        <v>100</v>
      </c>
      <c r="E62" s="322">
        <f t="shared" ref="E62:G62" si="8">INT(E60*$A$53)</f>
        <v>101</v>
      </c>
      <c r="F62" s="322">
        <f t="shared" si="8"/>
        <v>104</v>
      </c>
      <c r="G62" s="322">
        <f t="shared" si="8"/>
        <v>107</v>
      </c>
      <c r="H62" s="322" t="s">
        <v>34</v>
      </c>
      <c r="J62" s="439"/>
      <c r="K62" s="439"/>
      <c r="L62" s="439"/>
      <c r="M62" s="439"/>
      <c r="N62" s="439"/>
    </row>
    <row r="63" spans="1:14" ht="16.2" thickBot="1" x14ac:dyDescent="0.35">
      <c r="B63" s="417" t="s">
        <v>57</v>
      </c>
      <c r="C63" s="315" t="s">
        <v>29</v>
      </c>
      <c r="D63" s="413">
        <f>D60+D62-D61</f>
        <v>1100</v>
      </c>
      <c r="E63" s="413">
        <f t="shared" ref="E63:G63" si="9">E60+E62-E61</f>
        <v>1011</v>
      </c>
      <c r="F63" s="413">
        <f t="shared" si="9"/>
        <v>1043</v>
      </c>
      <c r="G63" s="413">
        <f t="shared" si="9"/>
        <v>1074</v>
      </c>
      <c r="H63" s="322">
        <f>SUM(D63:G63)</f>
        <v>4228</v>
      </c>
      <c r="J63" s="439"/>
      <c r="K63" s="439"/>
      <c r="L63" s="439"/>
      <c r="M63" s="439"/>
      <c r="N63" s="439"/>
    </row>
    <row r="64" spans="1:14" ht="16.2" thickBot="1" x14ac:dyDescent="0.35">
      <c r="B64" s="418" t="s">
        <v>27</v>
      </c>
      <c r="C64" s="420"/>
      <c r="D64" s="422"/>
      <c r="E64" s="422"/>
      <c r="F64" s="422"/>
      <c r="G64" s="422"/>
      <c r="H64" s="422"/>
    </row>
    <row r="65" spans="1:8" ht="16.2" thickBot="1" x14ac:dyDescent="0.35">
      <c r="B65" s="416" t="s">
        <v>54</v>
      </c>
      <c r="C65" s="315" t="s">
        <v>29</v>
      </c>
      <c r="D65" s="421">
        <f>D27</f>
        <v>2000</v>
      </c>
      <c r="E65" s="421">
        <f t="shared" ref="E65:G65" si="10">E27</f>
        <v>2080</v>
      </c>
      <c r="F65" s="421">
        <f t="shared" si="10"/>
        <v>2163</v>
      </c>
      <c r="G65" s="421">
        <f t="shared" si="10"/>
        <v>2249</v>
      </c>
      <c r="H65" s="322">
        <f>SUM(D65:G65)</f>
        <v>8492</v>
      </c>
    </row>
    <row r="66" spans="1:8" ht="16.2" thickBot="1" x14ac:dyDescent="0.35">
      <c r="B66" s="416" t="s">
        <v>55</v>
      </c>
      <c r="C66" s="315" t="s">
        <v>29</v>
      </c>
      <c r="D66" s="322">
        <v>0</v>
      </c>
      <c r="E66" s="322">
        <f>D67</f>
        <v>160</v>
      </c>
      <c r="F66" s="322">
        <f t="shared" ref="F66:G66" si="11">E67</f>
        <v>166</v>
      </c>
      <c r="G66" s="322">
        <f t="shared" si="11"/>
        <v>173</v>
      </c>
      <c r="H66" s="322" t="s">
        <v>34</v>
      </c>
    </row>
    <row r="67" spans="1:8" ht="16.2" thickBot="1" x14ac:dyDescent="0.35">
      <c r="B67" s="416" t="s">
        <v>56</v>
      </c>
      <c r="C67" s="315" t="s">
        <v>29</v>
      </c>
      <c r="D67" s="322">
        <f>INT(D65*$A$54)</f>
        <v>160</v>
      </c>
      <c r="E67" s="322">
        <f t="shared" ref="E67:G67" si="12">INT(E65*$A$54)</f>
        <v>166</v>
      </c>
      <c r="F67" s="322">
        <f t="shared" si="12"/>
        <v>173</v>
      </c>
      <c r="G67" s="322">
        <f t="shared" si="12"/>
        <v>179</v>
      </c>
      <c r="H67" s="322" t="s">
        <v>34</v>
      </c>
    </row>
    <row r="68" spans="1:8" ht="16.2" thickBot="1" x14ac:dyDescent="0.35">
      <c r="B68" s="417" t="s">
        <v>57</v>
      </c>
      <c r="C68" s="315" t="s">
        <v>29</v>
      </c>
      <c r="D68" s="413">
        <f>D65+D67-D66</f>
        <v>2160</v>
      </c>
      <c r="E68" s="413">
        <f t="shared" ref="E68:G68" si="13">E65+E67-E66</f>
        <v>2086</v>
      </c>
      <c r="F68" s="413">
        <f t="shared" si="13"/>
        <v>2170</v>
      </c>
      <c r="G68" s="413">
        <f t="shared" si="13"/>
        <v>2255</v>
      </c>
      <c r="H68" s="322">
        <f>SUM(D68:G68)</f>
        <v>8671</v>
      </c>
    </row>
    <row r="70" spans="1:8" ht="17.399999999999999" x14ac:dyDescent="0.3">
      <c r="A70" s="283"/>
      <c r="B70" s="51" t="s">
        <v>58</v>
      </c>
      <c r="C70" s="2"/>
      <c r="D70" s="2"/>
      <c r="E70" s="2"/>
      <c r="F70" s="2"/>
      <c r="G70" s="2"/>
      <c r="H70" s="2"/>
    </row>
    <row r="71" spans="1:8" ht="18" x14ac:dyDescent="0.35">
      <c r="A71" s="7" t="s">
        <v>59</v>
      </c>
      <c r="B71" s="7"/>
      <c r="C71" s="8"/>
      <c r="D71" s="8"/>
      <c r="E71" s="9"/>
      <c r="F71" s="9"/>
      <c r="G71" s="9"/>
      <c r="H71" s="9"/>
    </row>
    <row r="72" spans="1:8" ht="18" x14ac:dyDescent="0.35">
      <c r="A72" s="4" t="s">
        <v>60</v>
      </c>
      <c r="B72" s="4"/>
      <c r="C72" s="2"/>
      <c r="D72" s="2"/>
      <c r="E72" s="2"/>
      <c r="F72" s="2"/>
      <c r="G72" s="2"/>
      <c r="H72" s="2"/>
    </row>
    <row r="73" spans="1:8" ht="18" x14ac:dyDescent="0.35">
      <c r="A73" s="4" t="s">
        <v>61</v>
      </c>
      <c r="B73" s="4"/>
      <c r="C73" s="2"/>
      <c r="D73" s="2"/>
      <c r="E73" s="2"/>
      <c r="F73" s="2"/>
      <c r="G73" s="2"/>
      <c r="H73" s="2"/>
    </row>
    <row r="74" spans="1:8" ht="18" x14ac:dyDescent="0.35">
      <c r="A74" s="7" t="s">
        <v>62</v>
      </c>
      <c r="B74" s="7"/>
      <c r="C74" s="8"/>
      <c r="D74" s="8"/>
      <c r="E74" s="9"/>
      <c r="F74" s="9"/>
      <c r="G74" s="9"/>
      <c r="H74" s="9"/>
    </row>
    <row r="75" spans="1:8" ht="19.5" customHeight="1" x14ac:dyDescent="0.3">
      <c r="A75" s="264">
        <v>2</v>
      </c>
      <c r="B75" s="49" t="s">
        <v>67</v>
      </c>
      <c r="C75" s="46"/>
      <c r="D75" s="46"/>
      <c r="E75" s="46"/>
      <c r="F75" s="47"/>
      <c r="G75" s="46"/>
      <c r="H75" s="9"/>
    </row>
    <row r="76" spans="1:8" ht="19.5" customHeight="1" x14ac:dyDescent="0.3">
      <c r="A76" s="264">
        <v>1.5</v>
      </c>
      <c r="B76" s="49" t="s">
        <v>68</v>
      </c>
      <c r="C76" s="46"/>
      <c r="D76" s="46"/>
      <c r="E76" s="46"/>
      <c r="F76" s="47"/>
      <c r="G76" s="46"/>
      <c r="H76" s="9"/>
    </row>
    <row r="77" spans="1:8" ht="19.5" customHeight="1" x14ac:dyDescent="0.3">
      <c r="A77" s="246">
        <v>2</v>
      </c>
      <c r="B77" s="49" t="s">
        <v>69</v>
      </c>
      <c r="C77" s="46"/>
      <c r="D77" s="46"/>
      <c r="E77" s="46"/>
      <c r="F77" s="47"/>
      <c r="G77" s="46"/>
      <c r="H77" s="9"/>
    </row>
    <row r="78" spans="1:8" ht="19.5" customHeight="1" x14ac:dyDescent="0.3">
      <c r="A78" s="246">
        <v>3</v>
      </c>
      <c r="B78" s="49" t="s">
        <v>70</v>
      </c>
      <c r="C78" s="48"/>
      <c r="D78" s="48"/>
      <c r="E78" s="48"/>
      <c r="F78" s="47"/>
      <c r="G78" s="46"/>
      <c r="H78" s="9"/>
    </row>
    <row r="79" spans="1:8" ht="19.5" customHeight="1" x14ac:dyDescent="0.3">
      <c r="A79" s="247">
        <v>0.04</v>
      </c>
      <c r="B79" s="49" t="s">
        <v>63</v>
      </c>
      <c r="C79" s="49"/>
      <c r="D79" s="49"/>
      <c r="E79" s="2"/>
      <c r="F79" s="2"/>
      <c r="G79" s="2"/>
      <c r="H79" s="2"/>
    </row>
    <row r="80" spans="1:8" ht="19.5" customHeight="1" x14ac:dyDescent="0.3">
      <c r="A80" s="247">
        <v>0.05</v>
      </c>
      <c r="B80" s="49" t="s">
        <v>64</v>
      </c>
      <c r="C80" s="49"/>
      <c r="D80" s="49"/>
      <c r="E80" s="2"/>
      <c r="F80" s="2"/>
      <c r="G80" s="2"/>
      <c r="H80" s="2"/>
    </row>
    <row r="81" spans="1:8" ht="19.5" customHeight="1" x14ac:dyDescent="0.3">
      <c r="A81" s="248">
        <v>0.6</v>
      </c>
      <c r="B81" s="50" t="s">
        <v>10</v>
      </c>
      <c r="C81" s="8"/>
      <c r="D81" s="8"/>
      <c r="E81" s="9"/>
      <c r="F81" s="9"/>
      <c r="G81" s="9"/>
      <c r="H81" s="9"/>
    </row>
    <row r="82" spans="1:8" ht="19.5" customHeight="1" x14ac:dyDescent="0.3">
      <c r="A82" s="249">
        <v>0.4</v>
      </c>
      <c r="B82" s="49" t="s">
        <v>11</v>
      </c>
      <c r="C82" s="8"/>
      <c r="D82" s="8"/>
      <c r="E82" s="9"/>
      <c r="F82" s="9"/>
      <c r="G82" s="9"/>
      <c r="H82" s="9"/>
    </row>
    <row r="83" spans="1:8" ht="15.6" x14ac:dyDescent="0.3">
      <c r="A83" s="250"/>
      <c r="B83" s="2"/>
      <c r="C83" s="2"/>
      <c r="D83" s="2"/>
      <c r="E83" s="2"/>
      <c r="F83" s="2"/>
      <c r="G83" s="2"/>
      <c r="H83" s="2"/>
    </row>
    <row r="84" spans="1:8" ht="18.600000000000001" thickBot="1" x14ac:dyDescent="0.4">
      <c r="A84" s="2"/>
      <c r="B84" s="14"/>
      <c r="C84" s="14" t="s">
        <v>65</v>
      </c>
      <c r="D84" s="15"/>
      <c r="E84" s="16"/>
      <c r="F84" s="17"/>
      <c r="G84" s="14"/>
      <c r="H84" s="17"/>
    </row>
    <row r="85" spans="1:8" ht="16.2" thickBot="1" x14ac:dyDescent="0.35">
      <c r="A85" s="2"/>
      <c r="B85" s="290" t="s">
        <v>13</v>
      </c>
      <c r="C85" s="290" t="s">
        <v>14</v>
      </c>
      <c r="D85" s="289"/>
      <c r="E85" s="289" t="s">
        <v>66</v>
      </c>
      <c r="F85" s="289"/>
      <c r="G85" s="290"/>
      <c r="H85" s="290" t="s">
        <v>16</v>
      </c>
    </row>
    <row r="86" spans="1:8" ht="16.2" thickBot="1" x14ac:dyDescent="0.35">
      <c r="A86" s="2"/>
      <c r="B86" s="290"/>
      <c r="C86" s="290" t="s">
        <v>17</v>
      </c>
      <c r="D86" s="309" t="s">
        <v>18</v>
      </c>
      <c r="E86" s="309" t="s">
        <v>19</v>
      </c>
      <c r="F86" s="309" t="s">
        <v>20</v>
      </c>
      <c r="G86" s="309" t="s">
        <v>21</v>
      </c>
      <c r="H86" s="290" t="s">
        <v>22</v>
      </c>
    </row>
    <row r="87" spans="1:8" ht="15" thickBot="1" x14ac:dyDescent="0.35">
      <c r="B87" s="310" t="s">
        <v>23</v>
      </c>
      <c r="C87" s="311"/>
      <c r="D87" s="311"/>
      <c r="E87" s="311"/>
      <c r="F87" s="311"/>
      <c r="G87" s="311"/>
      <c r="H87" s="311"/>
    </row>
    <row r="88" spans="1:8" ht="16.2" thickBot="1" x14ac:dyDescent="0.35">
      <c r="B88" s="312" t="s">
        <v>74</v>
      </c>
      <c r="C88" s="320" t="s">
        <v>29</v>
      </c>
      <c r="D88" s="322">
        <f>D63*$A$77</f>
        <v>2200</v>
      </c>
      <c r="E88" s="322">
        <f t="shared" ref="E88:G88" si="14">E63*$A$77</f>
        <v>2022</v>
      </c>
      <c r="F88" s="322">
        <f t="shared" si="14"/>
        <v>2086</v>
      </c>
      <c r="G88" s="322">
        <f t="shared" si="14"/>
        <v>2148</v>
      </c>
      <c r="H88" s="322">
        <f>SUM(D88:G88)</f>
        <v>8456</v>
      </c>
    </row>
    <row r="89" spans="1:8" ht="16.2" thickBot="1" x14ac:dyDescent="0.35">
      <c r="B89" s="312" t="s">
        <v>71</v>
      </c>
      <c r="C89" s="320" t="s">
        <v>29</v>
      </c>
      <c r="D89" s="431">
        <v>0</v>
      </c>
      <c r="E89" s="322">
        <f>D90</f>
        <v>88</v>
      </c>
      <c r="F89" s="322">
        <f t="shared" ref="F89:G89" si="15">E90</f>
        <v>80</v>
      </c>
      <c r="G89" s="322">
        <f t="shared" si="15"/>
        <v>83</v>
      </c>
      <c r="H89" s="88" t="s">
        <v>34</v>
      </c>
    </row>
    <row r="90" spans="1:8" ht="16.2" thickBot="1" x14ac:dyDescent="0.35">
      <c r="B90" s="312" t="s">
        <v>72</v>
      </c>
      <c r="C90" s="320" t="s">
        <v>29</v>
      </c>
      <c r="D90" s="322">
        <f>INT(D88*$A$79)</f>
        <v>88</v>
      </c>
      <c r="E90" s="322">
        <f t="shared" ref="E90:G90" si="16">INT(E88*$A$79)</f>
        <v>80</v>
      </c>
      <c r="F90" s="322">
        <f t="shared" si="16"/>
        <v>83</v>
      </c>
      <c r="G90" s="322">
        <f t="shared" si="16"/>
        <v>85</v>
      </c>
      <c r="H90" s="88" t="s">
        <v>34</v>
      </c>
    </row>
    <row r="91" spans="1:8" ht="16.2" thickBot="1" x14ac:dyDescent="0.35">
      <c r="B91" s="312" t="s">
        <v>73</v>
      </c>
      <c r="C91" s="320" t="s">
        <v>29</v>
      </c>
      <c r="D91" s="322">
        <f>D88+D90-D89</f>
        <v>2288</v>
      </c>
      <c r="E91" s="322">
        <f t="shared" ref="E91:G91" si="17">E88+E90-E89</f>
        <v>2014</v>
      </c>
      <c r="F91" s="322">
        <f t="shared" si="17"/>
        <v>2089</v>
      </c>
      <c r="G91" s="322">
        <f t="shared" si="17"/>
        <v>2150</v>
      </c>
      <c r="H91" s="322">
        <f t="shared" ref="H91:H101" si="18">SUM(D91:G91)</f>
        <v>8541</v>
      </c>
    </row>
    <row r="92" spans="1:8" ht="16.2" thickBot="1" x14ac:dyDescent="0.35">
      <c r="B92" s="289" t="s">
        <v>265</v>
      </c>
      <c r="C92" s="320" t="s">
        <v>28</v>
      </c>
      <c r="D92" s="413">
        <f>D91*$A$75</f>
        <v>4576</v>
      </c>
      <c r="E92" s="413">
        <f>E91*$A$75</f>
        <v>4028</v>
      </c>
      <c r="F92" s="413">
        <f>F91*$A$75</f>
        <v>4178</v>
      </c>
      <c r="G92" s="413">
        <f>G91*$A$75</f>
        <v>4300</v>
      </c>
      <c r="H92" s="322">
        <f t="shared" si="18"/>
        <v>17082</v>
      </c>
    </row>
    <row r="93" spans="1:8" ht="16.2" thickBot="1" x14ac:dyDescent="0.35">
      <c r="B93" s="289" t="s">
        <v>310</v>
      </c>
      <c r="C93" s="320" t="s">
        <v>28</v>
      </c>
      <c r="D93" s="413">
        <f>D90*$A$75</f>
        <v>176</v>
      </c>
      <c r="E93" s="413">
        <f t="shared" ref="E93:G93" si="19">E90*$A$75</f>
        <v>160</v>
      </c>
      <c r="F93" s="413">
        <f t="shared" si="19"/>
        <v>166</v>
      </c>
      <c r="G93" s="413">
        <f t="shared" si="19"/>
        <v>170</v>
      </c>
      <c r="H93" s="322">
        <f t="shared" si="18"/>
        <v>672</v>
      </c>
    </row>
    <row r="94" spans="1:8" ht="16.2" thickBot="1" x14ac:dyDescent="0.35">
      <c r="B94" s="310" t="s">
        <v>27</v>
      </c>
      <c r="C94" s="320"/>
      <c r="D94" s="322"/>
      <c r="E94" s="322"/>
      <c r="F94" s="322"/>
      <c r="G94" s="322"/>
      <c r="H94" s="322">
        <f t="shared" si="18"/>
        <v>0</v>
      </c>
    </row>
    <row r="95" spans="1:8" ht="16.2" thickBot="1" x14ac:dyDescent="0.35">
      <c r="B95" s="312" t="s">
        <v>74</v>
      </c>
      <c r="C95" s="320" t="s">
        <v>29</v>
      </c>
      <c r="D95" s="322">
        <f>D68*$A$78</f>
        <v>6480</v>
      </c>
      <c r="E95" s="322">
        <f>E68*$A$78</f>
        <v>6258</v>
      </c>
      <c r="F95" s="322">
        <f>F68*$A$78</f>
        <v>6510</v>
      </c>
      <c r="G95" s="322">
        <f>G68*$A$78</f>
        <v>6765</v>
      </c>
      <c r="H95" s="322">
        <f t="shared" si="18"/>
        <v>26013</v>
      </c>
    </row>
    <row r="96" spans="1:8" ht="16.2" thickBot="1" x14ac:dyDescent="0.35">
      <c r="B96" s="312" t="s">
        <v>71</v>
      </c>
      <c r="C96" s="320" t="s">
        <v>29</v>
      </c>
      <c r="D96" s="322">
        <v>0</v>
      </c>
      <c r="E96" s="322">
        <f>D97</f>
        <v>324</v>
      </c>
      <c r="F96" s="322">
        <f t="shared" ref="F96:G96" si="20">E97</f>
        <v>312.90000000000003</v>
      </c>
      <c r="G96" s="322">
        <f t="shared" si="20"/>
        <v>325.5</v>
      </c>
      <c r="H96" s="88" t="s">
        <v>34</v>
      </c>
    </row>
    <row r="97" spans="1:9" ht="16.2" thickBot="1" x14ac:dyDescent="0.35">
      <c r="B97" s="312" t="s">
        <v>72</v>
      </c>
      <c r="C97" s="320" t="s">
        <v>29</v>
      </c>
      <c r="D97" s="322">
        <f>D95*$A$80</f>
        <v>324</v>
      </c>
      <c r="E97" s="322">
        <f t="shared" ref="E97:G97" si="21">E95*$A$80</f>
        <v>312.90000000000003</v>
      </c>
      <c r="F97" s="322">
        <f t="shared" si="21"/>
        <v>325.5</v>
      </c>
      <c r="G97" s="322">
        <f t="shared" si="21"/>
        <v>338.25</v>
      </c>
      <c r="H97" s="88" t="s">
        <v>34</v>
      </c>
    </row>
    <row r="98" spans="1:9" ht="16.2" thickBot="1" x14ac:dyDescent="0.35">
      <c r="B98" s="312" t="s">
        <v>73</v>
      </c>
      <c r="C98" s="320" t="s">
        <v>29</v>
      </c>
      <c r="D98" s="322">
        <f>D95+D96-D97</f>
        <v>6156</v>
      </c>
      <c r="E98" s="322">
        <f t="shared" ref="E98:G98" si="22">E95+E96-E97</f>
        <v>6269.1</v>
      </c>
      <c r="F98" s="322">
        <f t="shared" si="22"/>
        <v>6497.4</v>
      </c>
      <c r="G98" s="322">
        <f t="shared" si="22"/>
        <v>6752.25</v>
      </c>
      <c r="H98" s="322">
        <f t="shared" si="18"/>
        <v>25674.75</v>
      </c>
    </row>
    <row r="99" spans="1:9" ht="16.2" thickBot="1" x14ac:dyDescent="0.35">
      <c r="A99" s="55" t="s">
        <v>75</v>
      </c>
      <c r="B99" s="289" t="s">
        <v>266</v>
      </c>
      <c r="C99" s="320" t="s">
        <v>28</v>
      </c>
      <c r="D99" s="413">
        <f>D98*$A$76</f>
        <v>9234</v>
      </c>
      <c r="E99" s="413">
        <f>E98*$A$76</f>
        <v>9403.6500000000015</v>
      </c>
      <c r="F99" s="413">
        <f>F98*$A$76</f>
        <v>9746.0999999999985</v>
      </c>
      <c r="G99" s="413">
        <f>G98*$A$76</f>
        <v>10128.375</v>
      </c>
      <c r="H99" s="322">
        <f t="shared" si="18"/>
        <v>38512.125</v>
      </c>
    </row>
    <row r="100" spans="1:9" ht="16.2" thickBot="1" x14ac:dyDescent="0.35">
      <c r="A100" s="55"/>
      <c r="B100" s="289" t="s">
        <v>311</v>
      </c>
      <c r="C100" s="320"/>
      <c r="D100" s="413">
        <f>D97*$A$76</f>
        <v>486</v>
      </c>
      <c r="E100" s="413">
        <f t="shared" ref="E100:G100" si="23">E97*$A$76</f>
        <v>469.35</v>
      </c>
      <c r="F100" s="413">
        <f t="shared" si="23"/>
        <v>488.25</v>
      </c>
      <c r="G100" s="413">
        <f t="shared" si="23"/>
        <v>507.375</v>
      </c>
      <c r="H100" s="322">
        <f t="shared" si="18"/>
        <v>1950.9749999999999</v>
      </c>
    </row>
    <row r="101" spans="1:9" ht="16.2" thickBot="1" x14ac:dyDescent="0.35">
      <c r="A101" s="55"/>
      <c r="B101" s="289" t="s">
        <v>300</v>
      </c>
      <c r="C101" s="415" t="s">
        <v>28</v>
      </c>
      <c r="D101" s="413">
        <f>D92+D99</f>
        <v>13810</v>
      </c>
      <c r="E101" s="413">
        <f>E92+E99</f>
        <v>13431.650000000001</v>
      </c>
      <c r="F101" s="413">
        <f>F92+F99</f>
        <v>13924.099999999999</v>
      </c>
      <c r="G101" s="413">
        <f>G92+G99</f>
        <v>14428.375</v>
      </c>
      <c r="H101" s="322">
        <f t="shared" si="18"/>
        <v>55594.125</v>
      </c>
    </row>
    <row r="102" spans="1:9" ht="16.2" thickBot="1" x14ac:dyDescent="0.35">
      <c r="A102" s="55"/>
      <c r="B102" s="289" t="s">
        <v>312</v>
      </c>
      <c r="C102" s="415"/>
      <c r="D102" s="413">
        <f>D93+D100</f>
        <v>662</v>
      </c>
      <c r="E102" s="413">
        <f t="shared" ref="E102:G102" si="24">E93+E100</f>
        <v>629.35</v>
      </c>
      <c r="F102" s="413">
        <f t="shared" si="24"/>
        <v>654.25</v>
      </c>
      <c r="G102" s="413">
        <f t="shared" si="24"/>
        <v>677.375</v>
      </c>
      <c r="H102" s="88" t="s">
        <v>34</v>
      </c>
    </row>
    <row r="103" spans="1:9" ht="15" customHeight="1" thickBot="1" x14ac:dyDescent="0.35">
      <c r="B103" s="56"/>
      <c r="C103" s="57" t="s">
        <v>76</v>
      </c>
      <c r="D103" s="58"/>
      <c r="E103" s="58"/>
      <c r="F103" s="58"/>
      <c r="G103" s="58"/>
      <c r="H103" s="58"/>
    </row>
    <row r="104" spans="1:9" ht="15.6" x14ac:dyDescent="0.3">
      <c r="B104" s="18" t="s">
        <v>13</v>
      </c>
      <c r="C104" s="32"/>
      <c r="D104" s="59" t="s">
        <v>77</v>
      </c>
      <c r="E104" s="60"/>
      <c r="F104" s="61"/>
      <c r="G104" s="60" t="s">
        <v>32</v>
      </c>
      <c r="H104" s="62" t="s">
        <v>16</v>
      </c>
    </row>
    <row r="105" spans="1:9" ht="16.2" thickBot="1" x14ac:dyDescent="0.35">
      <c r="B105" s="21"/>
      <c r="C105" s="35" t="s">
        <v>18</v>
      </c>
      <c r="D105" s="63" t="s">
        <v>19</v>
      </c>
      <c r="E105" s="63" t="s">
        <v>20</v>
      </c>
      <c r="F105" s="63" t="s">
        <v>21</v>
      </c>
      <c r="G105" s="64" t="s">
        <v>18</v>
      </c>
      <c r="H105" s="65" t="s">
        <v>22</v>
      </c>
    </row>
    <row r="106" spans="1:9" ht="15.6" x14ac:dyDescent="0.3">
      <c r="B106" s="37" t="s">
        <v>78</v>
      </c>
      <c r="C106" s="78"/>
      <c r="D106" s="79"/>
      <c r="E106" s="80"/>
      <c r="F106" s="80"/>
      <c r="G106" s="80"/>
      <c r="H106" s="81"/>
    </row>
    <row r="107" spans="1:9" ht="16.2" thickBot="1" x14ac:dyDescent="0.35">
      <c r="B107" s="37" t="s">
        <v>79</v>
      </c>
      <c r="C107" s="82">
        <f>D101*(1+ПДВ)</f>
        <v>16572</v>
      </c>
      <c r="D107" s="82">
        <f>E101*(1+ПДВ)</f>
        <v>16117.980000000001</v>
      </c>
      <c r="E107" s="82">
        <f>F101*(1+ПДВ)</f>
        <v>16708.919999999998</v>
      </c>
      <c r="F107" s="82">
        <f>G101*(1+ПДВ)</f>
        <v>17314.05</v>
      </c>
      <c r="G107" s="83" t="s">
        <v>34</v>
      </c>
      <c r="H107" s="84">
        <f>SUM(C107:F107)</f>
        <v>66712.95</v>
      </c>
    </row>
    <row r="108" spans="1:9" ht="15.6" x14ac:dyDescent="0.3">
      <c r="B108" s="42" t="s">
        <v>80</v>
      </c>
      <c r="C108" s="85"/>
      <c r="D108" s="86"/>
      <c r="E108" s="86"/>
      <c r="F108" s="86"/>
      <c r="G108" s="86"/>
      <c r="H108" s="87"/>
    </row>
    <row r="109" spans="1:9" ht="16.2" thickBot="1" x14ac:dyDescent="0.35">
      <c r="B109" s="37" t="s">
        <v>36</v>
      </c>
      <c r="C109" s="78">
        <v>0</v>
      </c>
      <c r="D109" s="82">
        <f>C111</f>
        <v>6628.8000000000011</v>
      </c>
      <c r="E109" s="82">
        <f>D111</f>
        <v>6447.1920000000027</v>
      </c>
      <c r="F109" s="82">
        <f>E111</f>
        <v>6683.5679999999993</v>
      </c>
      <c r="G109" s="82">
        <f>F111</f>
        <v>6925.619999999999</v>
      </c>
      <c r="H109" s="88" t="s">
        <v>34</v>
      </c>
    </row>
    <row r="110" spans="1:9" ht="15.6" x14ac:dyDescent="0.3">
      <c r="B110" s="42" t="s">
        <v>80</v>
      </c>
      <c r="C110" s="85"/>
      <c r="D110" s="86"/>
      <c r="E110" s="86"/>
      <c r="F110" s="86"/>
      <c r="G110" s="86"/>
      <c r="H110" s="89"/>
    </row>
    <row r="111" spans="1:9" ht="16.2" thickBot="1" x14ac:dyDescent="0.35">
      <c r="B111" s="37" t="s">
        <v>37</v>
      </c>
      <c r="C111" s="82">
        <f>C107-C119+C109</f>
        <v>6628.8000000000011</v>
      </c>
      <c r="D111" s="82">
        <f>D107-D119+D109</f>
        <v>6447.1920000000027</v>
      </c>
      <c r="E111" s="82">
        <f>E107-E119+E109</f>
        <v>6683.5679999999993</v>
      </c>
      <c r="F111" s="82">
        <f>F107-F119+F109</f>
        <v>6925.619999999999</v>
      </c>
      <c r="G111" s="90" t="s">
        <v>34</v>
      </c>
      <c r="H111" s="88" t="s">
        <v>34</v>
      </c>
      <c r="I111" t="s">
        <v>264</v>
      </c>
    </row>
    <row r="112" spans="1:9" ht="16.2" thickBot="1" x14ac:dyDescent="0.35">
      <c r="B112" s="43" t="s">
        <v>81</v>
      </c>
      <c r="C112" s="91"/>
      <c r="D112" s="92"/>
      <c r="E112" s="92"/>
      <c r="F112" s="91"/>
      <c r="G112" s="91"/>
      <c r="H112" s="93"/>
    </row>
    <row r="113" spans="1:9" ht="15.6" x14ac:dyDescent="0.3">
      <c r="B113" s="44" t="s">
        <v>39</v>
      </c>
      <c r="C113" s="94">
        <v>0</v>
      </c>
      <c r="D113" s="95"/>
      <c r="E113" s="95"/>
      <c r="F113" s="95"/>
      <c r="G113" s="96"/>
      <c r="H113" s="97"/>
    </row>
    <row r="114" spans="1:9" ht="15.6" x14ac:dyDescent="0.3">
      <c r="B114" s="44" t="s">
        <v>40</v>
      </c>
      <c r="C114" s="94">
        <f>C$107*$A$81</f>
        <v>9943.1999999999989</v>
      </c>
      <c r="D114" s="95">
        <f>C$107*$A$82</f>
        <v>6628.8</v>
      </c>
      <c r="E114" s="95"/>
      <c r="F114" s="95"/>
      <c r="G114" s="96"/>
      <c r="H114" s="98">
        <f>SUM(C114:G114)</f>
        <v>16572</v>
      </c>
    </row>
    <row r="115" spans="1:9" ht="15.6" x14ac:dyDescent="0.3">
      <c r="B115" s="44" t="s">
        <v>41</v>
      </c>
      <c r="C115" s="94"/>
      <c r="D115" s="94">
        <f>D$107*$A$81</f>
        <v>9670.7880000000005</v>
      </c>
      <c r="E115" s="95">
        <f>D$107*$A$82</f>
        <v>6447.1920000000009</v>
      </c>
      <c r="F115" s="95"/>
      <c r="G115" s="96"/>
      <c r="H115" s="98">
        <f>SUM(C115:G115)</f>
        <v>16117.980000000001</v>
      </c>
    </row>
    <row r="116" spans="1:9" ht="15.6" x14ac:dyDescent="0.3">
      <c r="B116" s="44" t="s">
        <v>42</v>
      </c>
      <c r="C116" s="94"/>
      <c r="D116" s="95"/>
      <c r="E116" s="94">
        <f>E$107*$A$81</f>
        <v>10025.351999999999</v>
      </c>
      <c r="F116" s="95">
        <f>E$107*$A$82</f>
        <v>6683.5679999999993</v>
      </c>
      <c r="G116" s="96"/>
      <c r="H116" s="98">
        <f>SUM(C116:G116)</f>
        <v>16708.919999999998</v>
      </c>
    </row>
    <row r="117" spans="1:9" ht="16.2" thickBot="1" x14ac:dyDescent="0.35">
      <c r="B117" s="44" t="s">
        <v>43</v>
      </c>
      <c r="C117" s="94"/>
      <c r="D117" s="95"/>
      <c r="E117" s="95"/>
      <c r="F117" s="94">
        <f>F$107*$A$81</f>
        <v>10388.429999999998</v>
      </c>
      <c r="G117" s="95">
        <f>F$107*$A$82</f>
        <v>6925.62</v>
      </c>
      <c r="H117" s="98">
        <f>SUM(C117:G117)</f>
        <v>17314.05</v>
      </c>
    </row>
    <row r="118" spans="1:9" ht="15.6" x14ac:dyDescent="0.3">
      <c r="B118" s="18" t="s">
        <v>44</v>
      </c>
      <c r="C118" s="85"/>
      <c r="D118" s="86"/>
      <c r="E118" s="86"/>
      <c r="F118" s="86"/>
      <c r="G118" s="99"/>
      <c r="H118" s="81">
        <f>SUM(H114:H117)</f>
        <v>66712.95</v>
      </c>
    </row>
    <row r="119" spans="1:9" ht="16.2" thickBot="1" x14ac:dyDescent="0.35">
      <c r="B119" s="21" t="s">
        <v>82</v>
      </c>
      <c r="C119" s="82">
        <f>SUM(C114:C117)</f>
        <v>9943.1999999999989</v>
      </c>
      <c r="D119" s="82">
        <f>SUM(D114:D117)</f>
        <v>16299.588</v>
      </c>
      <c r="E119" s="82">
        <f>SUM(E114:E117)</f>
        <v>16472.544000000002</v>
      </c>
      <c r="F119" s="82">
        <f>SUM(F114:F117)</f>
        <v>17071.998</v>
      </c>
      <c r="G119" s="82">
        <f>SUM(G114:G117)</f>
        <v>6925.62</v>
      </c>
      <c r="H119" s="84">
        <f>SUM(C119:G119)</f>
        <v>66712.95</v>
      </c>
      <c r="I119" t="s">
        <v>254</v>
      </c>
    </row>
    <row r="121" spans="1:9" ht="17.399999999999999" x14ac:dyDescent="0.3">
      <c r="A121" s="283"/>
      <c r="B121" s="51" t="s">
        <v>83</v>
      </c>
      <c r="C121" s="2"/>
      <c r="D121" s="2"/>
      <c r="E121" s="2"/>
      <c r="F121" s="2"/>
      <c r="G121" s="2"/>
      <c r="H121" s="2"/>
    </row>
    <row r="122" spans="1:9" ht="18" x14ac:dyDescent="0.35">
      <c r="A122" s="7" t="s">
        <v>84</v>
      </c>
      <c r="B122" s="7"/>
      <c r="C122" s="8"/>
      <c r="D122" s="8"/>
      <c r="E122" s="9"/>
      <c r="F122" s="9"/>
      <c r="G122" s="9"/>
      <c r="H122" s="9"/>
    </row>
    <row r="123" spans="1:9" ht="18" x14ac:dyDescent="0.35">
      <c r="A123" s="7" t="s">
        <v>85</v>
      </c>
      <c r="B123" s="7"/>
      <c r="C123" s="8"/>
      <c r="D123" s="8"/>
      <c r="E123" s="9"/>
      <c r="F123" s="9"/>
      <c r="G123" s="9"/>
      <c r="H123" s="9"/>
    </row>
    <row r="124" spans="1:9" ht="18" x14ac:dyDescent="0.35">
      <c r="A124" s="7" t="s">
        <v>86</v>
      </c>
      <c r="B124" s="7"/>
      <c r="C124" s="8"/>
      <c r="D124" s="8"/>
      <c r="E124" s="9"/>
      <c r="F124" s="9"/>
      <c r="G124" s="9"/>
      <c r="H124" s="9"/>
    </row>
    <row r="125" spans="1:9" ht="18" x14ac:dyDescent="0.35">
      <c r="A125" s="7"/>
      <c r="B125" s="7"/>
      <c r="C125" s="8"/>
      <c r="D125" s="8"/>
      <c r="E125" s="9"/>
      <c r="F125" s="9"/>
      <c r="G125" s="9"/>
      <c r="H125" s="9"/>
    </row>
    <row r="126" spans="1:9" ht="18" x14ac:dyDescent="0.35">
      <c r="A126" s="245">
        <v>0.3</v>
      </c>
      <c r="B126" s="7" t="s">
        <v>87</v>
      </c>
      <c r="C126" s="8"/>
      <c r="D126" s="8"/>
      <c r="E126" s="9"/>
      <c r="F126" s="9"/>
      <c r="G126" s="9"/>
      <c r="H126" s="9"/>
    </row>
    <row r="127" spans="1:9" ht="18" x14ac:dyDescent="0.35">
      <c r="A127" s="245">
        <v>0.2</v>
      </c>
      <c r="B127" s="7" t="s">
        <v>88</v>
      </c>
      <c r="C127" s="8"/>
      <c r="D127" s="8"/>
      <c r="E127" s="9"/>
      <c r="F127" s="9"/>
      <c r="G127" s="9"/>
      <c r="H127" s="9"/>
    </row>
    <row r="128" spans="1:9" ht="18" x14ac:dyDescent="0.35">
      <c r="A128" s="245">
        <v>10</v>
      </c>
      <c r="B128" s="7" t="s">
        <v>89</v>
      </c>
      <c r="C128" s="8"/>
      <c r="D128" s="8"/>
      <c r="E128" s="9"/>
      <c r="F128" s="9"/>
      <c r="G128" s="9"/>
      <c r="H128" s="9"/>
    </row>
    <row r="129" spans="1:8" ht="18" x14ac:dyDescent="0.35">
      <c r="A129" s="245">
        <v>0.6</v>
      </c>
      <c r="B129" s="7" t="s">
        <v>90</v>
      </c>
      <c r="C129" s="8"/>
      <c r="D129" s="8"/>
      <c r="E129" s="9"/>
      <c r="F129" s="9"/>
      <c r="G129" s="9"/>
      <c r="H129" s="9"/>
    </row>
    <row r="130" spans="1:8" ht="18" x14ac:dyDescent="0.35">
      <c r="A130" s="245">
        <v>0.4</v>
      </c>
      <c r="B130" s="7" t="s">
        <v>91</v>
      </c>
      <c r="C130" s="8"/>
      <c r="D130" s="8"/>
      <c r="E130" s="9"/>
      <c r="F130" s="9"/>
      <c r="G130" s="9"/>
      <c r="H130" s="9"/>
    </row>
    <row r="131" spans="1:8" ht="18" x14ac:dyDescent="0.35">
      <c r="A131" s="7"/>
      <c r="B131" s="7"/>
      <c r="C131" s="8"/>
      <c r="D131" s="8"/>
      <c r="E131" s="9"/>
      <c r="F131" s="9"/>
      <c r="G131" s="9"/>
      <c r="H131" s="9"/>
    </row>
    <row r="132" spans="1:8" ht="18.600000000000001" thickBot="1" x14ac:dyDescent="0.4">
      <c r="A132" s="2"/>
      <c r="B132" s="14" t="s">
        <v>92</v>
      </c>
      <c r="C132" s="14"/>
      <c r="D132" s="15"/>
      <c r="E132" s="16"/>
      <c r="F132" s="17"/>
      <c r="G132" s="14"/>
      <c r="H132" s="17"/>
    </row>
    <row r="133" spans="1:8" ht="16.2" thickBot="1" x14ac:dyDescent="0.35">
      <c r="A133" s="2"/>
      <c r="B133" s="290" t="s">
        <v>13</v>
      </c>
      <c r="C133" s="290" t="s">
        <v>14</v>
      </c>
      <c r="D133" s="289"/>
      <c r="E133" s="289" t="s">
        <v>77</v>
      </c>
      <c r="F133" s="290"/>
      <c r="G133" s="290"/>
      <c r="H133" s="290" t="s">
        <v>16</v>
      </c>
    </row>
    <row r="134" spans="1:8" ht="16.2" thickBot="1" x14ac:dyDescent="0.35">
      <c r="A134" s="2"/>
      <c r="B134" s="290"/>
      <c r="C134" s="290" t="s">
        <v>17</v>
      </c>
      <c r="D134" s="290" t="s">
        <v>18</v>
      </c>
      <c r="E134" s="290" t="s">
        <v>19</v>
      </c>
      <c r="F134" s="290" t="s">
        <v>20</v>
      </c>
      <c r="G134" s="290" t="s">
        <v>21</v>
      </c>
      <c r="H134" s="290" t="s">
        <v>22</v>
      </c>
    </row>
    <row r="135" spans="1:8" ht="16.2" thickBot="1" x14ac:dyDescent="0.35">
      <c r="B135" s="313" t="s">
        <v>23</v>
      </c>
      <c r="C135" s="318"/>
      <c r="D135" s="318"/>
      <c r="E135" s="318"/>
      <c r="F135" s="318"/>
      <c r="G135" s="318"/>
      <c r="H135" s="318"/>
    </row>
    <row r="136" spans="1:8" ht="16.2" thickBot="1" x14ac:dyDescent="0.35">
      <c r="B136" s="314" t="s">
        <v>93</v>
      </c>
      <c r="C136" s="319" t="s">
        <v>161</v>
      </c>
      <c r="D136" s="321">
        <f>$A$126</f>
        <v>0.3</v>
      </c>
      <c r="E136" s="321">
        <f t="shared" ref="E136:G136" si="25">$A$126</f>
        <v>0.3</v>
      </c>
      <c r="F136" s="321">
        <f t="shared" si="25"/>
        <v>0.3</v>
      </c>
      <c r="G136" s="321">
        <f t="shared" si="25"/>
        <v>0.3</v>
      </c>
      <c r="H136" s="322" t="s">
        <v>34</v>
      </c>
    </row>
    <row r="137" spans="1:8" ht="16.2" thickBot="1" x14ac:dyDescent="0.35">
      <c r="B137" s="314" t="s">
        <v>94</v>
      </c>
      <c r="C137" s="319" t="s">
        <v>162</v>
      </c>
      <c r="D137" s="321">
        <f>$A$128</f>
        <v>10</v>
      </c>
      <c r="E137" s="321">
        <f t="shared" ref="E137:G137" si="26">$A$128</f>
        <v>10</v>
      </c>
      <c r="F137" s="321">
        <f t="shared" si="26"/>
        <v>10</v>
      </c>
      <c r="G137" s="321">
        <f t="shared" si="26"/>
        <v>10</v>
      </c>
      <c r="H137" s="322" t="s">
        <v>34</v>
      </c>
    </row>
    <row r="138" spans="1:8" ht="16.2" thickBot="1" x14ac:dyDescent="0.35">
      <c r="B138" s="316" t="s">
        <v>95</v>
      </c>
      <c r="C138" s="316" t="s">
        <v>28</v>
      </c>
      <c r="D138" s="323">
        <f>D136*D137</f>
        <v>3</v>
      </c>
      <c r="E138" s="323">
        <f t="shared" ref="E138:G138" si="27">E136*E137</f>
        <v>3</v>
      </c>
      <c r="F138" s="323">
        <f t="shared" si="27"/>
        <v>3</v>
      </c>
      <c r="G138" s="323">
        <f t="shared" si="27"/>
        <v>3</v>
      </c>
      <c r="H138" s="322" t="s">
        <v>34</v>
      </c>
    </row>
    <row r="139" spans="1:8" ht="16.2" thickBot="1" x14ac:dyDescent="0.35">
      <c r="B139" s="316" t="s">
        <v>96</v>
      </c>
      <c r="C139" s="319" t="s">
        <v>28</v>
      </c>
      <c r="D139" s="323">
        <f>D138*D63</f>
        <v>3300</v>
      </c>
      <c r="E139" s="323">
        <f>E138*E63</f>
        <v>3033</v>
      </c>
      <c r="F139" s="323">
        <f>F138*F63</f>
        <v>3129</v>
      </c>
      <c r="G139" s="323">
        <f>G138*G63</f>
        <v>3222</v>
      </c>
      <c r="H139" s="323">
        <f>SUM(D139:G139)</f>
        <v>12684</v>
      </c>
    </row>
    <row r="140" spans="1:8" ht="16.2" thickBot="1" x14ac:dyDescent="0.35">
      <c r="B140" s="313" t="s">
        <v>27</v>
      </c>
      <c r="C140" s="318"/>
      <c r="D140" s="324"/>
      <c r="E140" s="324"/>
      <c r="F140" s="324"/>
      <c r="G140" s="324"/>
      <c r="H140" s="324"/>
    </row>
    <row r="141" spans="1:8" ht="16.2" thickBot="1" x14ac:dyDescent="0.35">
      <c r="B141" s="314" t="s">
        <v>93</v>
      </c>
      <c r="C141" s="319" t="s">
        <v>161</v>
      </c>
      <c r="D141" s="321">
        <f>$A$127</f>
        <v>0.2</v>
      </c>
      <c r="E141" s="321">
        <f t="shared" ref="E141:G141" si="28">$A$127</f>
        <v>0.2</v>
      </c>
      <c r="F141" s="321">
        <f t="shared" si="28"/>
        <v>0.2</v>
      </c>
      <c r="G141" s="321">
        <f t="shared" si="28"/>
        <v>0.2</v>
      </c>
      <c r="H141" s="321"/>
    </row>
    <row r="142" spans="1:8" ht="16.2" thickBot="1" x14ac:dyDescent="0.35">
      <c r="B142" s="314" t="s">
        <v>94</v>
      </c>
      <c r="C142" s="319" t="s">
        <v>162</v>
      </c>
      <c r="D142" s="321">
        <f>$A$128</f>
        <v>10</v>
      </c>
      <c r="E142" s="321">
        <f t="shared" ref="E142:G142" si="29">$A$128</f>
        <v>10</v>
      </c>
      <c r="F142" s="321">
        <f t="shared" si="29"/>
        <v>10</v>
      </c>
      <c r="G142" s="321">
        <f t="shared" si="29"/>
        <v>10</v>
      </c>
      <c r="H142" s="321"/>
    </row>
    <row r="143" spans="1:8" ht="16.2" thickBot="1" x14ac:dyDescent="0.35">
      <c r="B143" s="316" t="s">
        <v>95</v>
      </c>
      <c r="C143" s="316" t="s">
        <v>28</v>
      </c>
      <c r="D143" s="323">
        <f>D141*D142</f>
        <v>2</v>
      </c>
      <c r="E143" s="323">
        <f t="shared" ref="E143:G143" si="30">E141*E142</f>
        <v>2</v>
      </c>
      <c r="F143" s="323">
        <f t="shared" si="30"/>
        <v>2</v>
      </c>
      <c r="G143" s="323">
        <f t="shared" si="30"/>
        <v>2</v>
      </c>
      <c r="H143" s="321"/>
    </row>
    <row r="144" spans="1:8" ht="16.2" thickBot="1" x14ac:dyDescent="0.35">
      <c r="B144" s="316" t="s">
        <v>96</v>
      </c>
      <c r="C144" s="316" t="s">
        <v>28</v>
      </c>
      <c r="D144" s="323">
        <f>D143*D68</f>
        <v>4320</v>
      </c>
      <c r="E144" s="323">
        <f>E143*E68</f>
        <v>4172</v>
      </c>
      <c r="F144" s="323">
        <f>F143*F68</f>
        <v>4340</v>
      </c>
      <c r="G144" s="323">
        <f>G143*G68</f>
        <v>4510</v>
      </c>
      <c r="H144" s="321">
        <f>SUM(D144:G144)</f>
        <v>17342</v>
      </c>
    </row>
    <row r="145" spans="1:9" ht="16.2" thickBot="1" x14ac:dyDescent="0.35">
      <c r="A145" s="260" t="s">
        <v>112</v>
      </c>
      <c r="B145" s="317" t="s">
        <v>97</v>
      </c>
      <c r="C145" s="319" t="s">
        <v>28</v>
      </c>
      <c r="D145" s="323">
        <f>D139+D144</f>
        <v>7620</v>
      </c>
      <c r="E145" s="323">
        <f t="shared" ref="E145:G145" si="31">E139+E144</f>
        <v>7205</v>
      </c>
      <c r="F145" s="323">
        <f t="shared" si="31"/>
        <v>7469</v>
      </c>
      <c r="G145" s="323">
        <f t="shared" si="31"/>
        <v>7732</v>
      </c>
      <c r="H145" s="323">
        <f>SUM(D145:G145)</f>
        <v>30026</v>
      </c>
    </row>
    <row r="146" spans="1:9" ht="18" thickBot="1" x14ac:dyDescent="0.35">
      <c r="B146" s="100" t="s">
        <v>98</v>
      </c>
      <c r="C146" s="101"/>
      <c r="D146" s="102"/>
      <c r="E146" s="102"/>
      <c r="F146" s="102"/>
      <c r="G146" s="102"/>
      <c r="H146" s="103"/>
    </row>
    <row r="147" spans="1:9" ht="15.6" x14ac:dyDescent="0.3">
      <c r="B147" s="62" t="s">
        <v>13</v>
      </c>
      <c r="C147" s="104"/>
      <c r="D147" s="59" t="s">
        <v>77</v>
      </c>
      <c r="E147" s="60"/>
      <c r="F147" s="61"/>
      <c r="G147" s="60" t="s">
        <v>32</v>
      </c>
      <c r="H147" s="62" t="s">
        <v>16</v>
      </c>
    </row>
    <row r="148" spans="1:9" ht="16.2" thickBot="1" x14ac:dyDescent="0.35">
      <c r="B148" s="65"/>
      <c r="C148" s="105" t="s">
        <v>18</v>
      </c>
      <c r="D148" s="63" t="s">
        <v>19</v>
      </c>
      <c r="E148" s="63" t="s">
        <v>20</v>
      </c>
      <c r="F148" s="63" t="s">
        <v>21</v>
      </c>
      <c r="G148" s="64" t="s">
        <v>18</v>
      </c>
      <c r="H148" s="65" t="s">
        <v>22</v>
      </c>
    </row>
    <row r="149" spans="1:9" ht="16.2" thickBot="1" x14ac:dyDescent="0.35">
      <c r="B149" s="106" t="s">
        <v>99</v>
      </c>
      <c r="C149" s="299">
        <f>D145</f>
        <v>7620</v>
      </c>
      <c r="D149" s="299">
        <f t="shared" ref="D149:F149" si="32">E145</f>
        <v>7205</v>
      </c>
      <c r="E149" s="299">
        <f t="shared" si="32"/>
        <v>7469</v>
      </c>
      <c r="F149" s="299">
        <f t="shared" si="32"/>
        <v>7732</v>
      </c>
      <c r="G149" s="230" t="s">
        <v>34</v>
      </c>
      <c r="H149" s="68">
        <f>SUM(C149:F149)</f>
        <v>30026</v>
      </c>
    </row>
    <row r="150" spans="1:9" ht="31.8" thickBot="1" x14ac:dyDescent="0.35">
      <c r="B150" s="106" t="s">
        <v>270</v>
      </c>
      <c r="C150" s="299">
        <v>0</v>
      </c>
      <c r="D150" s="299">
        <f>C151</f>
        <v>3048</v>
      </c>
      <c r="E150" s="299">
        <f>D151</f>
        <v>2882</v>
      </c>
      <c r="F150" s="299">
        <f>E151</f>
        <v>2987.6000000000004</v>
      </c>
      <c r="G150" s="299">
        <f>F151</f>
        <v>3092.8</v>
      </c>
      <c r="H150" s="69" t="s">
        <v>34</v>
      </c>
    </row>
    <row r="151" spans="1:9" ht="31.8" thickBot="1" x14ac:dyDescent="0.35">
      <c r="B151" s="106" t="s">
        <v>271</v>
      </c>
      <c r="C151" s="386">
        <f>C149+C150-C159</f>
        <v>3048</v>
      </c>
      <c r="D151" s="386">
        <f>D149+D150-D159</f>
        <v>2882</v>
      </c>
      <c r="E151" s="386">
        <f>E149+E150-E159</f>
        <v>2987.6000000000004</v>
      </c>
      <c r="F151" s="386">
        <f>F149+F150-F159</f>
        <v>3092.8</v>
      </c>
      <c r="G151" s="299"/>
      <c r="H151" s="69" t="s">
        <v>34</v>
      </c>
      <c r="I151" t="s">
        <v>272</v>
      </c>
    </row>
    <row r="152" spans="1:9" ht="16.2" thickBot="1" x14ac:dyDescent="0.35">
      <c r="B152" s="430" t="s">
        <v>100</v>
      </c>
      <c r="C152" s="109"/>
      <c r="D152" s="143"/>
      <c r="E152" s="143"/>
      <c r="F152" s="109"/>
      <c r="G152" s="109"/>
      <c r="H152" s="72"/>
    </row>
    <row r="153" spans="1:9" ht="16.2" thickBot="1" x14ac:dyDescent="0.35">
      <c r="B153" s="429" t="s">
        <v>39</v>
      </c>
      <c r="C153" s="385"/>
      <c r="D153" s="385"/>
      <c r="E153" s="385"/>
      <c r="F153" s="385"/>
      <c r="G153" s="230" t="s">
        <v>34</v>
      </c>
      <c r="H153" s="76"/>
    </row>
    <row r="154" spans="1:9" ht="16.2" thickBot="1" x14ac:dyDescent="0.35">
      <c r="B154" s="429" t="s">
        <v>40</v>
      </c>
      <c r="C154" s="385">
        <f>C$149*$A$129</f>
        <v>4572</v>
      </c>
      <c r="D154" s="385">
        <f>C$149*$A$130</f>
        <v>3048</v>
      </c>
      <c r="E154" s="385"/>
      <c r="F154" s="385"/>
      <c r="G154" s="230" t="s">
        <v>34</v>
      </c>
      <c r="H154" s="77">
        <f>SUM(C154:G154)</f>
        <v>7620</v>
      </c>
    </row>
    <row r="155" spans="1:9" ht="16.2" thickBot="1" x14ac:dyDescent="0.35">
      <c r="B155" s="429" t="s">
        <v>41</v>
      </c>
      <c r="C155" s="385"/>
      <c r="D155" s="385">
        <f>D$149*$A$129</f>
        <v>4323</v>
      </c>
      <c r="E155" s="385">
        <f>D$149*$A$130</f>
        <v>2882</v>
      </c>
      <c r="F155" s="385"/>
      <c r="G155" s="230" t="s">
        <v>34</v>
      </c>
      <c r="H155" s="77">
        <f>SUM(C155:G155)</f>
        <v>7205</v>
      </c>
    </row>
    <row r="156" spans="1:9" ht="16.2" thickBot="1" x14ac:dyDescent="0.35">
      <c r="B156" s="429" t="s">
        <v>42</v>
      </c>
      <c r="C156" s="385"/>
      <c r="D156" s="385"/>
      <c r="E156" s="385">
        <f>E$149*$A$129</f>
        <v>4481.3999999999996</v>
      </c>
      <c r="F156" s="385">
        <f>E$149*$A$130</f>
        <v>2987.6000000000004</v>
      </c>
      <c r="G156" s="230" t="s">
        <v>34</v>
      </c>
      <c r="H156" s="77">
        <f>SUM(C156:G156)</f>
        <v>7469</v>
      </c>
    </row>
    <row r="157" spans="1:9" ht="16.2" thickBot="1" x14ac:dyDescent="0.35">
      <c r="B157" s="429" t="s">
        <v>43</v>
      </c>
      <c r="C157" s="385"/>
      <c r="D157" s="385"/>
      <c r="E157" s="385"/>
      <c r="F157" s="385">
        <f>F$149*$A$129</f>
        <v>4639.2</v>
      </c>
      <c r="G157" s="385">
        <f>F$149*$A$130</f>
        <v>3092.8</v>
      </c>
      <c r="H157" s="110">
        <f>SUM(C157:G157)</f>
        <v>7732</v>
      </c>
    </row>
    <row r="158" spans="1:9" ht="15.6" x14ac:dyDescent="0.3">
      <c r="B158" s="446" t="s">
        <v>273</v>
      </c>
      <c r="C158" s="111"/>
      <c r="D158" s="111"/>
      <c r="E158" s="111"/>
      <c r="F158" s="111"/>
      <c r="G158" s="111"/>
      <c r="H158" s="112">
        <f>SUM(H154:H157)</f>
        <v>30026</v>
      </c>
    </row>
    <row r="159" spans="1:9" ht="16.2" thickBot="1" x14ac:dyDescent="0.35">
      <c r="B159" s="447"/>
      <c r="C159" s="113">
        <f>SUM(C153:C157)</f>
        <v>4572</v>
      </c>
      <c r="D159" s="113">
        <f>SUM(D153:D157)</f>
        <v>7371</v>
      </c>
      <c r="E159" s="113">
        <f>SUM(E153:E157)</f>
        <v>7363.4</v>
      </c>
      <c r="F159" s="113">
        <f>SUM(F153:F157)</f>
        <v>7626.8</v>
      </c>
      <c r="G159" s="113">
        <f>SUM(G153:G157)</f>
        <v>3092.8</v>
      </c>
      <c r="H159" s="68">
        <f>SUM(C159:G159)</f>
        <v>30026</v>
      </c>
      <c r="I159" t="s">
        <v>254</v>
      </c>
    </row>
    <row r="161" spans="1:8" ht="17.399999999999999" x14ac:dyDescent="0.3">
      <c r="A161" s="283"/>
      <c r="B161" s="51" t="s">
        <v>101</v>
      </c>
      <c r="C161" s="114"/>
      <c r="D161" s="114"/>
      <c r="E161" s="114"/>
      <c r="F161" s="114"/>
      <c r="G161" s="114"/>
      <c r="H161" s="114"/>
    </row>
    <row r="162" spans="1:8" ht="18" x14ac:dyDescent="0.35">
      <c r="A162" s="7" t="s">
        <v>102</v>
      </c>
      <c r="B162" s="115"/>
      <c r="C162" s="114"/>
      <c r="D162" s="114"/>
      <c r="E162" s="114"/>
      <c r="F162" s="114"/>
      <c r="G162" s="114"/>
      <c r="H162" s="114"/>
    </row>
    <row r="163" spans="1:8" ht="18" x14ac:dyDescent="0.35">
      <c r="A163" s="7" t="s">
        <v>103</v>
      </c>
      <c r="B163" s="116"/>
      <c r="C163" s="114"/>
      <c r="D163" s="114"/>
      <c r="E163" s="114"/>
      <c r="F163" s="114"/>
      <c r="G163" s="114"/>
      <c r="H163" s="114"/>
    </row>
    <row r="164" spans="1:8" ht="15.6" x14ac:dyDescent="0.3">
      <c r="A164" s="2"/>
      <c r="B164" s="2"/>
      <c r="C164" s="114"/>
      <c r="D164" s="114"/>
      <c r="E164" s="114"/>
      <c r="F164" s="114"/>
      <c r="G164" s="114"/>
      <c r="H164" s="114"/>
    </row>
    <row r="165" spans="1:8" ht="15.6" x14ac:dyDescent="0.3">
      <c r="A165" s="243">
        <v>0.22</v>
      </c>
      <c r="B165" s="2" t="s">
        <v>104</v>
      </c>
      <c r="C165" s="114"/>
      <c r="D165" s="114"/>
      <c r="E165" s="114"/>
      <c r="F165" s="114"/>
      <c r="G165" s="114"/>
      <c r="H165" s="114"/>
    </row>
    <row r="166" spans="1:8" ht="31.2" x14ac:dyDescent="0.3">
      <c r="A166" s="244" t="s">
        <v>105</v>
      </c>
      <c r="B166" s="2" t="s">
        <v>106</v>
      </c>
      <c r="C166" s="114"/>
      <c r="D166" s="114"/>
      <c r="E166" s="114"/>
      <c r="F166" s="114"/>
      <c r="G166" s="114"/>
      <c r="H166" s="114"/>
    </row>
    <row r="167" spans="1:8" ht="15.6" x14ac:dyDescent="0.3">
      <c r="A167" s="243">
        <v>0.01</v>
      </c>
      <c r="B167" s="2" t="s">
        <v>107</v>
      </c>
      <c r="C167" s="114"/>
      <c r="D167" s="114"/>
      <c r="E167" s="114"/>
      <c r="F167" s="114"/>
      <c r="G167" s="114"/>
      <c r="H167" s="114"/>
    </row>
    <row r="168" spans="1:8" ht="15.6" x14ac:dyDescent="0.3">
      <c r="A168" s="2"/>
      <c r="B168" s="2"/>
      <c r="C168" s="114"/>
      <c r="D168" s="114"/>
      <c r="E168" s="114"/>
      <c r="F168" s="114"/>
      <c r="G168" s="114"/>
      <c r="H168" s="114"/>
    </row>
    <row r="169" spans="1:8" ht="18.600000000000001" thickBot="1" x14ac:dyDescent="0.4">
      <c r="A169" s="2"/>
      <c r="B169" s="14" t="s">
        <v>108</v>
      </c>
      <c r="C169" s="14"/>
      <c r="D169" s="15"/>
      <c r="E169" s="16"/>
      <c r="F169" s="17"/>
      <c r="G169" s="14"/>
      <c r="H169" s="17"/>
    </row>
    <row r="170" spans="1:8" ht="16.2" thickBot="1" x14ac:dyDescent="0.35">
      <c r="A170" s="2"/>
      <c r="B170" s="290" t="s">
        <v>13</v>
      </c>
      <c r="C170" s="290" t="s">
        <v>14</v>
      </c>
      <c r="D170" s="289"/>
      <c r="E170" s="289" t="s">
        <v>77</v>
      </c>
      <c r="F170" s="290"/>
      <c r="G170" s="290"/>
      <c r="H170" s="290" t="s">
        <v>16</v>
      </c>
    </row>
    <row r="171" spans="1:8" ht="16.2" thickBot="1" x14ac:dyDescent="0.35">
      <c r="A171" s="2"/>
      <c r="B171" s="290"/>
      <c r="C171" s="290" t="s">
        <v>17</v>
      </c>
      <c r="D171" s="290" t="s">
        <v>18</v>
      </c>
      <c r="E171" s="290" t="s">
        <v>19</v>
      </c>
      <c r="F171" s="290" t="s">
        <v>20</v>
      </c>
      <c r="G171" s="290" t="s">
        <v>21</v>
      </c>
      <c r="H171" s="290" t="s">
        <v>22</v>
      </c>
    </row>
    <row r="172" spans="1:8" ht="16.2" thickBot="1" x14ac:dyDescent="0.35">
      <c r="A172" s="2"/>
      <c r="B172" s="289" t="s">
        <v>23</v>
      </c>
      <c r="C172" s="290"/>
      <c r="D172" s="290"/>
      <c r="E172" s="290"/>
      <c r="F172" s="290"/>
      <c r="G172" s="290"/>
      <c r="H172" s="290"/>
    </row>
    <row r="173" spans="1:8" ht="16.2" thickBot="1" x14ac:dyDescent="0.35">
      <c r="A173" s="2"/>
      <c r="B173" s="312" t="s">
        <v>57</v>
      </c>
      <c r="C173" s="326" t="s">
        <v>29</v>
      </c>
      <c r="D173" s="423">
        <f>D63</f>
        <v>1100</v>
      </c>
      <c r="E173" s="423">
        <f>E63</f>
        <v>1011</v>
      </c>
      <c r="F173" s="423">
        <f>F63</f>
        <v>1043</v>
      </c>
      <c r="G173" s="423">
        <f>G63</f>
        <v>1074</v>
      </c>
      <c r="H173" s="408">
        <f>SUM(D173:G173)</f>
        <v>4228</v>
      </c>
    </row>
    <row r="174" spans="1:8" ht="16.2" thickBot="1" x14ac:dyDescent="0.35">
      <c r="B174" s="312" t="s">
        <v>109</v>
      </c>
      <c r="C174" s="330" t="s">
        <v>28</v>
      </c>
      <c r="D174" s="322">
        <f>D138*ЄСВ</f>
        <v>0.66</v>
      </c>
      <c r="E174" s="322">
        <f>E138*ЄСВ</f>
        <v>0.66</v>
      </c>
      <c r="F174" s="322">
        <f>F138*ЄСВ</f>
        <v>0.66</v>
      </c>
      <c r="G174" s="322">
        <f>G138*ЄСВ</f>
        <v>0.66</v>
      </c>
      <c r="H174" s="408">
        <f t="shared" ref="H174:H184" si="33">SUM(D174:G174)</f>
        <v>2.64</v>
      </c>
    </row>
    <row r="175" spans="1:8" ht="16.2" thickBot="1" x14ac:dyDescent="0.35">
      <c r="B175" s="312" t="s">
        <v>110</v>
      </c>
      <c r="C175" s="330" t="s">
        <v>28</v>
      </c>
      <c r="D175" s="322">
        <f>D24*$A$167</f>
        <v>0.25</v>
      </c>
      <c r="E175" s="322">
        <f>E24*$A$167</f>
        <v>0.2525</v>
      </c>
      <c r="F175" s="322">
        <f>F24*$A$167</f>
        <v>0.255025</v>
      </c>
      <c r="G175" s="322">
        <f>G24*$A$167</f>
        <v>0.25757525000000003</v>
      </c>
      <c r="H175" s="408">
        <f t="shared" si="33"/>
        <v>1.0151002500000001</v>
      </c>
    </row>
    <row r="176" spans="1:8" ht="16.2" thickBot="1" x14ac:dyDescent="0.35">
      <c r="B176" s="327" t="s">
        <v>111</v>
      </c>
      <c r="C176" s="330" t="s">
        <v>28</v>
      </c>
      <c r="D176" s="424">
        <f>D174+D175</f>
        <v>0.91</v>
      </c>
      <c r="E176" s="424">
        <f t="shared" ref="E176:G176" si="34">E174+E175</f>
        <v>0.91250000000000009</v>
      </c>
      <c r="F176" s="424">
        <f t="shared" si="34"/>
        <v>0.91502499999999998</v>
      </c>
      <c r="G176" s="424">
        <f t="shared" si="34"/>
        <v>0.91757525000000006</v>
      </c>
      <c r="H176" s="408">
        <f t="shared" si="33"/>
        <v>3.6551002500000003</v>
      </c>
    </row>
    <row r="177" spans="1:9" ht="16.2" thickBot="1" x14ac:dyDescent="0.35">
      <c r="B177" s="327" t="s">
        <v>267</v>
      </c>
      <c r="C177" s="330" t="s">
        <v>28</v>
      </c>
      <c r="D177" s="413">
        <f>D173*D176</f>
        <v>1001</v>
      </c>
      <c r="E177" s="413">
        <f t="shared" ref="E177:G177" si="35">E173*E176</f>
        <v>922.53750000000014</v>
      </c>
      <c r="F177" s="413">
        <f t="shared" si="35"/>
        <v>954.37107500000002</v>
      </c>
      <c r="G177" s="413">
        <f t="shared" si="35"/>
        <v>985.47581850000006</v>
      </c>
      <c r="H177" s="408">
        <f t="shared" si="33"/>
        <v>3863.3843935000004</v>
      </c>
    </row>
    <row r="178" spans="1:9" ht="16.2" thickBot="1" x14ac:dyDescent="0.35">
      <c r="B178" s="289" t="s">
        <v>27</v>
      </c>
      <c r="C178" s="330" t="s">
        <v>28</v>
      </c>
      <c r="D178" s="408"/>
      <c r="E178" s="408"/>
      <c r="F178" s="408"/>
      <c r="G178" s="408"/>
      <c r="H178" s="408"/>
    </row>
    <row r="179" spans="1:9" ht="16.2" thickBot="1" x14ac:dyDescent="0.35">
      <c r="B179" s="312" t="s">
        <v>57</v>
      </c>
      <c r="C179" s="330"/>
      <c r="D179" s="425">
        <f>D68</f>
        <v>2160</v>
      </c>
      <c r="E179" s="425">
        <f>E68</f>
        <v>2086</v>
      </c>
      <c r="F179" s="425">
        <f>F68</f>
        <v>2170</v>
      </c>
      <c r="G179" s="425">
        <f>G68</f>
        <v>2255</v>
      </c>
      <c r="H179" s="408">
        <f t="shared" si="33"/>
        <v>8671</v>
      </c>
    </row>
    <row r="180" spans="1:9" ht="16.2" thickBot="1" x14ac:dyDescent="0.35">
      <c r="B180" s="312" t="s">
        <v>109</v>
      </c>
      <c r="C180" s="330" t="s">
        <v>28</v>
      </c>
      <c r="D180" s="322">
        <f>D143*ЄСВ</f>
        <v>0.44</v>
      </c>
      <c r="E180" s="322">
        <f>E143*ЄСВ</f>
        <v>0.44</v>
      </c>
      <c r="F180" s="322">
        <f>F143*ЄСВ</f>
        <v>0.44</v>
      </c>
      <c r="G180" s="322">
        <f>G143*ЄСВ</f>
        <v>0.44</v>
      </c>
      <c r="H180" s="408">
        <f t="shared" si="33"/>
        <v>1.76</v>
      </c>
    </row>
    <row r="181" spans="1:9" ht="16.2" thickBot="1" x14ac:dyDescent="0.35">
      <c r="B181" s="312" t="s">
        <v>110</v>
      </c>
      <c r="C181" s="330" t="s">
        <v>28</v>
      </c>
      <c r="D181" s="322">
        <f>D28*$A$167</f>
        <v>0.3</v>
      </c>
      <c r="E181" s="322">
        <f>E28*$A$167</f>
        <v>0.30599999999999999</v>
      </c>
      <c r="F181" s="322">
        <f>F28*$A$167</f>
        <v>0.31212000000000006</v>
      </c>
      <c r="G181" s="322">
        <f>G28*$A$167</f>
        <v>0.31836240000000005</v>
      </c>
      <c r="H181" s="408">
        <f t="shared" si="33"/>
        <v>1.2364824000000001</v>
      </c>
    </row>
    <row r="182" spans="1:9" ht="16.2" thickBot="1" x14ac:dyDescent="0.35">
      <c r="B182" s="327" t="s">
        <v>111</v>
      </c>
      <c r="C182" s="330" t="s">
        <v>28</v>
      </c>
      <c r="D182" s="424">
        <f>D180+D181</f>
        <v>0.74</v>
      </c>
      <c r="E182" s="424">
        <f t="shared" ref="E182:G182" si="36">E180+E181</f>
        <v>0.746</v>
      </c>
      <c r="F182" s="424">
        <f t="shared" si="36"/>
        <v>0.75212000000000012</v>
      </c>
      <c r="G182" s="424">
        <f t="shared" si="36"/>
        <v>0.75836239999999999</v>
      </c>
      <c r="H182" s="408">
        <f t="shared" si="33"/>
        <v>2.9964824000000005</v>
      </c>
    </row>
    <row r="183" spans="1:9" ht="16.2" thickBot="1" x14ac:dyDescent="0.35">
      <c r="B183" s="327" t="s">
        <v>267</v>
      </c>
      <c r="C183" s="330" t="s">
        <v>28</v>
      </c>
      <c r="D183" s="413">
        <f>D182*D179</f>
        <v>1598.4</v>
      </c>
      <c r="E183" s="413">
        <f t="shared" ref="E183:G183" si="37">E182*E179</f>
        <v>1556.1559999999999</v>
      </c>
      <c r="F183" s="413">
        <f t="shared" si="37"/>
        <v>1632.1004000000003</v>
      </c>
      <c r="G183" s="413">
        <f t="shared" si="37"/>
        <v>1710.1072119999999</v>
      </c>
      <c r="H183" s="408">
        <f t="shared" si="33"/>
        <v>6496.7636119999997</v>
      </c>
    </row>
    <row r="184" spans="1:9" ht="36.450000000000003" customHeight="1" thickBot="1" x14ac:dyDescent="0.35">
      <c r="A184" s="55" t="s">
        <v>112</v>
      </c>
      <c r="B184" s="327" t="s">
        <v>268</v>
      </c>
      <c r="C184" s="330" t="s">
        <v>28</v>
      </c>
      <c r="D184" s="413">
        <f>D177+D183</f>
        <v>2599.4</v>
      </c>
      <c r="E184" s="413">
        <f t="shared" ref="E184:G184" si="38">E177+E183</f>
        <v>2478.6935000000003</v>
      </c>
      <c r="F184" s="413">
        <f t="shared" si="38"/>
        <v>2586.4714750000003</v>
      </c>
      <c r="G184" s="413">
        <f t="shared" si="38"/>
        <v>2695.5830304999999</v>
      </c>
      <c r="H184" s="408">
        <f t="shared" si="33"/>
        <v>10360.148005500001</v>
      </c>
    </row>
    <row r="185" spans="1:9" ht="18" thickBot="1" x14ac:dyDescent="0.35">
      <c r="B185" s="325"/>
      <c r="C185" s="29" t="s">
        <v>113</v>
      </c>
      <c r="D185" s="30"/>
      <c r="E185" s="30"/>
      <c r="F185" s="30"/>
      <c r="G185" s="30"/>
      <c r="H185" s="31"/>
    </row>
    <row r="186" spans="1:9" ht="15.6" x14ac:dyDescent="0.3">
      <c r="B186" s="165" t="s">
        <v>13</v>
      </c>
      <c r="C186" s="166"/>
      <c r="D186" s="166" t="s">
        <v>77</v>
      </c>
      <c r="E186" s="120"/>
      <c r="F186" s="120"/>
      <c r="G186" s="120" t="s">
        <v>32</v>
      </c>
      <c r="H186" s="121" t="s">
        <v>16</v>
      </c>
    </row>
    <row r="187" spans="1:9" ht="16.2" thickBot="1" x14ac:dyDescent="0.35">
      <c r="B187" s="158"/>
      <c r="C187" s="22" t="s">
        <v>18</v>
      </c>
      <c r="D187" s="22" t="s">
        <v>19</v>
      </c>
      <c r="E187" s="22" t="s">
        <v>20</v>
      </c>
      <c r="F187" s="22" t="s">
        <v>21</v>
      </c>
      <c r="G187" s="22" t="s">
        <v>18</v>
      </c>
      <c r="H187" s="167" t="s">
        <v>22</v>
      </c>
    </row>
    <row r="188" spans="1:9" ht="16.2" thickBot="1" x14ac:dyDescent="0.35">
      <c r="B188" s="159" t="s">
        <v>114</v>
      </c>
      <c r="C188" s="414">
        <f>D184</f>
        <v>2599.4</v>
      </c>
      <c r="D188" s="414">
        <f t="shared" ref="D188:F188" si="39">E184</f>
        <v>2478.6935000000003</v>
      </c>
      <c r="E188" s="414">
        <f t="shared" si="39"/>
        <v>2586.4714750000003</v>
      </c>
      <c r="F188" s="414">
        <f t="shared" si="39"/>
        <v>2695.5830304999999</v>
      </c>
      <c r="G188" s="107" t="s">
        <v>34</v>
      </c>
      <c r="H188" s="160">
        <f>SUM(C188:F188)</f>
        <v>10360.148005500001</v>
      </c>
    </row>
    <row r="189" spans="1:9" ht="15.6" x14ac:dyDescent="0.3">
      <c r="B189" s="149" t="s">
        <v>115</v>
      </c>
      <c r="C189" s="331">
        <f>D174*D173+D180*D179</f>
        <v>1676.4</v>
      </c>
      <c r="D189" s="331">
        <f t="shared" ref="D189:F189" si="40">E174*E173+E180*E179</f>
        <v>1585.1</v>
      </c>
      <c r="E189" s="331">
        <f t="shared" si="40"/>
        <v>1643.1799999999998</v>
      </c>
      <c r="F189" s="331">
        <f t="shared" si="40"/>
        <v>1701.04</v>
      </c>
      <c r="G189" s="107" t="s">
        <v>34</v>
      </c>
      <c r="H189" s="160">
        <f>SUM(C189:F189)</f>
        <v>6605.72</v>
      </c>
    </row>
    <row r="190" spans="1:9" ht="15.6" x14ac:dyDescent="0.3">
      <c r="B190" s="149" t="s">
        <v>144</v>
      </c>
      <c r="C190" s="95">
        <v>0</v>
      </c>
      <c r="D190" s="331">
        <f>C191</f>
        <v>1676.4</v>
      </c>
      <c r="E190" s="331">
        <f t="shared" ref="E190:G190" si="41">D191</f>
        <v>1585.1</v>
      </c>
      <c r="F190" s="331">
        <f t="shared" si="41"/>
        <v>1643.1799999999998</v>
      </c>
      <c r="G190" s="331">
        <f t="shared" si="41"/>
        <v>1701.04</v>
      </c>
      <c r="H190" s="161"/>
      <c r="I190" t="s">
        <v>272</v>
      </c>
    </row>
    <row r="191" spans="1:9" ht="16.2" thickBot="1" x14ac:dyDescent="0.35">
      <c r="B191" s="150" t="s">
        <v>245</v>
      </c>
      <c r="C191" s="162">
        <f>C189+C190-C199</f>
        <v>1676.4</v>
      </c>
      <c r="D191" s="162">
        <f t="shared" ref="D191:F191" si="42">D189+D190-D199</f>
        <v>1585.1</v>
      </c>
      <c r="E191" s="162">
        <f t="shared" si="42"/>
        <v>1643.1799999999998</v>
      </c>
      <c r="F191" s="162">
        <f t="shared" si="42"/>
        <v>1701.04</v>
      </c>
      <c r="G191" s="163"/>
      <c r="H191" s="164"/>
    </row>
    <row r="192" spans="1:9" ht="16.2" thickBot="1" x14ac:dyDescent="0.35">
      <c r="B192" s="289" t="s">
        <v>116</v>
      </c>
      <c r="C192" s="426"/>
      <c r="D192" s="427"/>
      <c r="E192" s="427"/>
      <c r="F192" s="426"/>
      <c r="G192" s="426"/>
      <c r="H192" s="428"/>
    </row>
    <row r="193" spans="1:9" ht="16.2" thickBot="1" x14ac:dyDescent="0.35">
      <c r="B193" s="390" t="s">
        <v>39</v>
      </c>
      <c r="C193" s="384"/>
      <c r="D193" s="384"/>
      <c r="E193" s="384"/>
      <c r="F193" s="384"/>
      <c r="G193" s="230" t="s">
        <v>34</v>
      </c>
      <c r="H193" s="391">
        <f>SUM(C193:G193)</f>
        <v>0</v>
      </c>
    </row>
    <row r="194" spans="1:9" ht="16.2" thickBot="1" x14ac:dyDescent="0.35">
      <c r="B194" s="390" t="s">
        <v>40</v>
      </c>
      <c r="C194" s="384"/>
      <c r="D194" s="384">
        <f>C189</f>
        <v>1676.4</v>
      </c>
      <c r="E194" s="384"/>
      <c r="F194" s="384"/>
      <c r="G194" s="230" t="s">
        <v>34</v>
      </c>
      <c r="H194" s="391">
        <f t="shared" ref="H194:H197" si="43">SUM(C194:G194)</f>
        <v>1676.4</v>
      </c>
    </row>
    <row r="195" spans="1:9" ht="16.2" thickBot="1" x14ac:dyDescent="0.35">
      <c r="B195" s="390" t="s">
        <v>41</v>
      </c>
      <c r="C195" s="384"/>
      <c r="D195" s="384"/>
      <c r="E195" s="384">
        <f>D189</f>
        <v>1585.1</v>
      </c>
      <c r="F195" s="384"/>
      <c r="G195" s="230" t="s">
        <v>34</v>
      </c>
      <c r="H195" s="391">
        <f t="shared" si="43"/>
        <v>1585.1</v>
      </c>
    </row>
    <row r="196" spans="1:9" ht="16.2" thickBot="1" x14ac:dyDescent="0.35">
      <c r="B196" s="390" t="s">
        <v>42</v>
      </c>
      <c r="C196" s="384"/>
      <c r="D196" s="384"/>
      <c r="E196" s="384"/>
      <c r="F196" s="384">
        <f>E189</f>
        <v>1643.1799999999998</v>
      </c>
      <c r="G196" s="230" t="s">
        <v>34</v>
      </c>
      <c r="H196" s="391">
        <f t="shared" si="43"/>
        <v>1643.1799999999998</v>
      </c>
    </row>
    <row r="197" spans="1:9" ht="16.2" thickBot="1" x14ac:dyDescent="0.35">
      <c r="B197" s="390" t="s">
        <v>43</v>
      </c>
      <c r="C197" s="384"/>
      <c r="D197" s="384"/>
      <c r="E197" s="384"/>
      <c r="F197" s="384"/>
      <c r="G197" s="384">
        <f>F189</f>
        <v>1701.04</v>
      </c>
      <c r="H197" s="391">
        <f t="shared" si="43"/>
        <v>1701.04</v>
      </c>
    </row>
    <row r="198" spans="1:9" ht="16.2" thickBot="1" x14ac:dyDescent="0.35">
      <c r="B198" s="290" t="s">
        <v>44</v>
      </c>
      <c r="C198" s="384"/>
      <c r="D198" s="384"/>
      <c r="E198" s="384"/>
      <c r="F198" s="384"/>
      <c r="G198" s="384"/>
      <c r="H198" s="392">
        <f>SUM(H193:H197)</f>
        <v>6605.72</v>
      </c>
    </row>
    <row r="199" spans="1:9" ht="16.2" thickBot="1" x14ac:dyDescent="0.35">
      <c r="B199" s="290" t="s">
        <v>82</v>
      </c>
      <c r="C199" s="391">
        <f>SUM(C193:C198)</f>
        <v>0</v>
      </c>
      <c r="D199" s="391">
        <f t="shared" ref="D199:G199" si="44">SUM(D193:D198)</f>
        <v>1676.4</v>
      </c>
      <c r="E199" s="391">
        <f t="shared" si="44"/>
        <v>1585.1</v>
      </c>
      <c r="F199" s="391">
        <f t="shared" si="44"/>
        <v>1643.1799999999998</v>
      </c>
      <c r="G199" s="391">
        <f t="shared" si="44"/>
        <v>1701.04</v>
      </c>
      <c r="H199" s="391">
        <f>SUM(C199:G199)</f>
        <v>6605.72</v>
      </c>
      <c r="I199" t="s">
        <v>254</v>
      </c>
    </row>
    <row r="201" spans="1:9" ht="17.399999999999999" x14ac:dyDescent="0.3">
      <c r="A201" s="283"/>
      <c r="B201" s="51" t="s">
        <v>117</v>
      </c>
      <c r="C201" s="114"/>
      <c r="D201" s="114"/>
      <c r="E201" s="114"/>
      <c r="F201" s="114"/>
      <c r="G201" s="114"/>
      <c r="H201" s="114"/>
    </row>
    <row r="202" spans="1:9" ht="18" x14ac:dyDescent="0.35">
      <c r="A202" s="7" t="s">
        <v>274</v>
      </c>
      <c r="B202" s="7"/>
      <c r="C202" s="8"/>
      <c r="D202" s="8"/>
      <c r="E202" s="9"/>
      <c r="F202" s="9"/>
      <c r="G202" s="9"/>
      <c r="H202" s="9"/>
    </row>
    <row r="203" spans="1:9" ht="18" x14ac:dyDescent="0.35">
      <c r="A203" s="7" t="s">
        <v>86</v>
      </c>
      <c r="B203" s="10"/>
      <c r="C203" s="11"/>
      <c r="D203" s="11"/>
      <c r="E203" s="11"/>
      <c r="F203" s="11"/>
      <c r="G203" s="9"/>
      <c r="H203" s="9"/>
    </row>
    <row r="204" spans="1:9" ht="18" x14ac:dyDescent="0.35">
      <c r="A204" s="128" t="s">
        <v>118</v>
      </c>
      <c r="B204" s="133"/>
      <c r="C204" s="134"/>
      <c r="D204" s="135"/>
      <c r="E204" s="136"/>
      <c r="F204" s="137"/>
      <c r="G204" s="9"/>
      <c r="H204" s="9"/>
    </row>
    <row r="205" spans="1:9" ht="18" x14ac:dyDescent="0.35">
      <c r="A205" s="332" t="s">
        <v>314</v>
      </c>
      <c r="B205" s="332"/>
      <c r="C205" s="333"/>
      <c r="D205" s="8"/>
      <c r="E205" s="8"/>
      <c r="F205" s="8"/>
      <c r="G205" s="9"/>
      <c r="H205" s="9"/>
    </row>
    <row r="206" spans="1:9" ht="17.399999999999999" x14ac:dyDescent="0.3">
      <c r="A206" s="240">
        <v>2500</v>
      </c>
      <c r="B206" s="50" t="s">
        <v>119</v>
      </c>
      <c r="C206" s="139"/>
      <c r="D206" s="140"/>
      <c r="E206" s="140"/>
      <c r="F206" s="140"/>
      <c r="G206" s="9"/>
      <c r="H206" s="9"/>
    </row>
    <row r="207" spans="1:9" ht="18" x14ac:dyDescent="0.35">
      <c r="A207" s="240">
        <v>0.2</v>
      </c>
      <c r="B207" s="448" t="s">
        <v>120</v>
      </c>
      <c r="C207" s="448"/>
      <c r="D207" s="448"/>
      <c r="E207" s="448"/>
      <c r="F207" s="448"/>
      <c r="G207" s="132" t="s">
        <v>121</v>
      </c>
      <c r="H207" s="129"/>
    </row>
    <row r="208" spans="1:9" s="263" customFormat="1" ht="17.399999999999999" x14ac:dyDescent="0.3">
      <c r="A208" s="240">
        <v>2400</v>
      </c>
      <c r="B208" s="49" t="s">
        <v>290</v>
      </c>
      <c r="C208" s="261"/>
      <c r="D208" s="261"/>
      <c r="E208" s="261"/>
      <c r="F208" s="261"/>
      <c r="G208" s="262"/>
      <c r="H208" s="262"/>
    </row>
    <row r="209" spans="1:8" ht="17.399999999999999" x14ac:dyDescent="0.3">
      <c r="A209" s="241">
        <v>30300</v>
      </c>
      <c r="B209" s="444" t="s">
        <v>122</v>
      </c>
      <c r="C209" s="444"/>
      <c r="D209" s="444"/>
      <c r="E209" s="444"/>
      <c r="F209" s="444"/>
      <c r="G209" s="9">
        <f>A209-A215</f>
        <v>13300</v>
      </c>
      <c r="H209" s="9">
        <f>G209/20</f>
        <v>665</v>
      </c>
    </row>
    <row r="210" spans="1:8" ht="17.399999999999999" x14ac:dyDescent="0.3">
      <c r="A210" s="241">
        <v>11200</v>
      </c>
      <c r="B210" s="444" t="s">
        <v>123</v>
      </c>
      <c r="C210" s="444"/>
      <c r="D210" s="444"/>
      <c r="E210" s="444"/>
      <c r="F210" s="444"/>
      <c r="G210" s="9" t="s">
        <v>320</v>
      </c>
      <c r="H210" s="9"/>
    </row>
    <row r="211" spans="1:8" ht="17.399999999999999" x14ac:dyDescent="0.3">
      <c r="A211" s="241">
        <v>20</v>
      </c>
      <c r="B211" s="444" t="s">
        <v>124</v>
      </c>
      <c r="C211" s="444"/>
      <c r="D211" s="444"/>
      <c r="E211" s="444"/>
      <c r="F211" s="444"/>
      <c r="G211" s="9"/>
      <c r="H211" s="9"/>
    </row>
    <row r="212" spans="1:8" ht="17.399999999999999" x14ac:dyDescent="0.3">
      <c r="A212" s="241">
        <v>10</v>
      </c>
      <c r="B212" s="444" t="s">
        <v>125</v>
      </c>
      <c r="C212" s="444"/>
      <c r="D212" s="444"/>
      <c r="E212" s="444"/>
      <c r="F212" s="444"/>
      <c r="G212" s="9"/>
      <c r="H212" s="9"/>
    </row>
    <row r="213" spans="1:8" ht="17.399999999999999" x14ac:dyDescent="0.3">
      <c r="A213" s="242">
        <v>18100</v>
      </c>
      <c r="B213" s="444" t="s">
        <v>275</v>
      </c>
      <c r="C213" s="444"/>
      <c r="D213" s="444"/>
      <c r="E213" s="444"/>
      <c r="F213" s="444"/>
      <c r="G213" s="9"/>
      <c r="H213" s="9"/>
    </row>
    <row r="214" spans="1:8" ht="17.399999999999999" x14ac:dyDescent="0.3">
      <c r="A214" s="242">
        <v>6200</v>
      </c>
      <c r="B214" s="444" t="s">
        <v>126</v>
      </c>
      <c r="C214" s="444"/>
      <c r="D214" s="444"/>
      <c r="E214" s="444"/>
      <c r="F214" s="444"/>
      <c r="G214" s="9"/>
      <c r="H214" s="9"/>
    </row>
    <row r="215" spans="1:8" ht="17.399999999999999" x14ac:dyDescent="0.3">
      <c r="A215" s="242">
        <v>17000</v>
      </c>
      <c r="B215" s="444" t="s">
        <v>127</v>
      </c>
      <c r="C215" s="444"/>
      <c r="D215" s="444"/>
      <c r="E215" s="444"/>
      <c r="F215" s="444"/>
      <c r="G215" s="9"/>
      <c r="H215" s="9"/>
    </row>
    <row r="216" spans="1:8" ht="17.399999999999999" x14ac:dyDescent="0.3">
      <c r="A216" s="242">
        <v>3800</v>
      </c>
      <c r="B216" s="444" t="s">
        <v>128</v>
      </c>
      <c r="C216" s="444"/>
      <c r="D216" s="444"/>
      <c r="E216" s="444"/>
      <c r="F216" s="444"/>
      <c r="G216" s="9"/>
      <c r="H216" s="9"/>
    </row>
    <row r="217" spans="1:8" ht="17.25" customHeight="1" x14ac:dyDescent="0.3">
      <c r="A217" s="138">
        <f>(A209-A215)/A211/A209</f>
        <v>2.1947194719471947E-2</v>
      </c>
      <c r="B217" s="444" t="s">
        <v>129</v>
      </c>
      <c r="C217" s="444"/>
      <c r="D217" s="444"/>
      <c r="E217" s="444"/>
      <c r="F217" s="444"/>
      <c r="G217" s="449" t="e">
        <f ca="1">_xlfn.FORMULATEXT(A217)</f>
        <v>#NAME?</v>
      </c>
      <c r="H217" s="449"/>
    </row>
    <row r="218" spans="1:8" ht="17.25" customHeight="1" x14ac:dyDescent="0.3">
      <c r="A218" s="281">
        <f>(1-(A216/A210)^(1/$A$212))</f>
        <v>0.10245432734003501</v>
      </c>
      <c r="B218" s="444" t="s">
        <v>130</v>
      </c>
      <c r="C218" s="444"/>
      <c r="D218" s="444"/>
      <c r="E218" s="444"/>
      <c r="F218" s="444"/>
      <c r="G218" s="449" t="e">
        <f ca="1">_xlfn.FORMULATEXT(A218)</f>
        <v>#NAME?</v>
      </c>
      <c r="H218" s="449"/>
    </row>
    <row r="219" spans="1:8" ht="17.25" customHeight="1" x14ac:dyDescent="0.3">
      <c r="A219" s="148">
        <v>0.6</v>
      </c>
      <c r="B219" s="141" t="s">
        <v>142</v>
      </c>
      <c r="C219" s="141"/>
      <c r="D219" s="141"/>
      <c r="E219" s="141"/>
      <c r="F219" s="141"/>
      <c r="G219" s="130"/>
      <c r="H219" s="130"/>
    </row>
    <row r="220" spans="1:8" ht="17.25" customHeight="1" x14ac:dyDescent="0.3">
      <c r="A220" s="148">
        <v>0.4</v>
      </c>
      <c r="B220" s="141" t="s">
        <v>143</v>
      </c>
      <c r="C220" s="141"/>
      <c r="D220" s="141"/>
      <c r="E220" s="141"/>
      <c r="F220" s="141"/>
      <c r="G220" s="130"/>
      <c r="H220" s="130"/>
    </row>
    <row r="221" spans="1:8" ht="18" x14ac:dyDescent="0.35">
      <c r="A221" s="131"/>
      <c r="B221" s="7"/>
      <c r="C221" s="8"/>
      <c r="D221" s="8"/>
      <c r="E221" s="9"/>
      <c r="F221" s="9"/>
      <c r="G221" s="9"/>
      <c r="H221" s="9"/>
    </row>
    <row r="222" spans="1:8" ht="18.600000000000001" thickBot="1" x14ac:dyDescent="0.4">
      <c r="A222" s="7"/>
      <c r="B222" s="14" t="s">
        <v>152</v>
      </c>
      <c r="C222" s="14"/>
      <c r="D222" s="15"/>
      <c r="E222" s="16"/>
      <c r="F222" s="17"/>
      <c r="G222" s="14"/>
      <c r="H222" s="17"/>
    </row>
    <row r="223" spans="1:8" ht="16.2" thickBot="1" x14ac:dyDescent="0.35">
      <c r="A223" s="49"/>
      <c r="B223" s="289" t="s">
        <v>131</v>
      </c>
      <c r="C223" s="290" t="s">
        <v>133</v>
      </c>
      <c r="D223" s="289"/>
      <c r="E223" s="289" t="s">
        <v>77</v>
      </c>
      <c r="F223" s="290"/>
      <c r="G223" s="290"/>
      <c r="H223" s="290" t="s">
        <v>16</v>
      </c>
    </row>
    <row r="224" spans="1:8" ht="16.2" thickBot="1" x14ac:dyDescent="0.35">
      <c r="A224" s="2"/>
      <c r="B224" s="290"/>
      <c r="C224" s="290"/>
      <c r="D224" s="290" t="s">
        <v>18</v>
      </c>
      <c r="E224" s="290" t="s">
        <v>19</v>
      </c>
      <c r="F224" s="290" t="s">
        <v>20</v>
      </c>
      <c r="G224" s="290" t="s">
        <v>21</v>
      </c>
      <c r="H224" s="290" t="s">
        <v>22</v>
      </c>
    </row>
    <row r="225" spans="1:14" ht="16.2" thickBot="1" x14ac:dyDescent="0.35">
      <c r="A225" s="2"/>
      <c r="B225" s="347" t="s">
        <v>23</v>
      </c>
      <c r="C225" s="348"/>
      <c r="D225" s="400"/>
      <c r="E225" s="400"/>
      <c r="F225" s="400"/>
      <c r="G225" s="400"/>
      <c r="H225" s="400"/>
    </row>
    <row r="226" spans="1:14" ht="16.2" thickBot="1" x14ac:dyDescent="0.35">
      <c r="A226" s="2"/>
      <c r="B226" s="403" t="s">
        <v>57</v>
      </c>
      <c r="C226" s="405"/>
      <c r="D226" s="406">
        <f>D63</f>
        <v>1100</v>
      </c>
      <c r="E226" s="406">
        <f>E63</f>
        <v>1011</v>
      </c>
      <c r="F226" s="406">
        <f>F63</f>
        <v>1043</v>
      </c>
      <c r="G226" s="406">
        <f>G63</f>
        <v>1074</v>
      </c>
      <c r="H226" s="402">
        <f>SUM(D226:G226)</f>
        <v>4228</v>
      </c>
      <c r="I226" s="259"/>
    </row>
    <row r="227" spans="1:14" ht="16.2" thickBot="1" x14ac:dyDescent="0.35">
      <c r="A227" s="2"/>
      <c r="B227" s="312" t="s">
        <v>150</v>
      </c>
      <c r="C227" s="395"/>
      <c r="D227" s="407">
        <f t="shared" ref="D227:G227" si="45">$A$207</f>
        <v>0.2</v>
      </c>
      <c r="E227" s="407">
        <f t="shared" si="45"/>
        <v>0.2</v>
      </c>
      <c r="F227" s="407">
        <f t="shared" si="45"/>
        <v>0.2</v>
      </c>
      <c r="G227" s="407">
        <f t="shared" si="45"/>
        <v>0.2</v>
      </c>
      <c r="H227" s="401" t="s">
        <v>34</v>
      </c>
    </row>
    <row r="228" spans="1:14" ht="16.2" thickBot="1" x14ac:dyDescent="0.35">
      <c r="A228" s="2"/>
      <c r="B228" s="312" t="s">
        <v>151</v>
      </c>
      <c r="C228" s="395"/>
      <c r="D228" s="407">
        <f>D242/D63</f>
        <v>1.7097097399919774</v>
      </c>
      <c r="E228" s="407">
        <f>E242/E63</f>
        <v>1.6835719198145296</v>
      </c>
      <c r="F228" s="407">
        <f>F242/F63</f>
        <v>1.6328253239356623</v>
      </c>
      <c r="G228" s="407">
        <f>G242/G63</f>
        <v>1.5749598491364536</v>
      </c>
      <c r="H228" s="401" t="s">
        <v>34</v>
      </c>
    </row>
    <row r="229" spans="1:14" ht="16.2" thickBot="1" x14ac:dyDescent="0.35">
      <c r="A229" s="2"/>
      <c r="B229" s="289" t="s">
        <v>153</v>
      </c>
      <c r="C229" s="395"/>
      <c r="D229" s="408">
        <f>D227+D228</f>
        <v>1.9097097399919774</v>
      </c>
      <c r="E229" s="408">
        <f t="shared" ref="E229:G229" si="46">E227+E228</f>
        <v>1.8835719198145295</v>
      </c>
      <c r="F229" s="408">
        <f t="shared" si="46"/>
        <v>1.8328253239356622</v>
      </c>
      <c r="G229" s="408">
        <f t="shared" si="46"/>
        <v>1.7749598491364535</v>
      </c>
      <c r="H229" s="401" t="s">
        <v>34</v>
      </c>
    </row>
    <row r="230" spans="1:14" ht="16.2" thickBot="1" x14ac:dyDescent="0.35">
      <c r="A230" s="2"/>
      <c r="B230" s="347" t="s">
        <v>27</v>
      </c>
      <c r="C230" s="394"/>
      <c r="D230" s="409"/>
      <c r="E230" s="409"/>
      <c r="F230" s="409"/>
      <c r="G230" s="409"/>
      <c r="H230" s="409"/>
    </row>
    <row r="231" spans="1:14" ht="16.2" thickBot="1" x14ac:dyDescent="0.35">
      <c r="A231" s="2"/>
      <c r="B231" s="403" t="s">
        <v>57</v>
      </c>
      <c r="C231" s="404"/>
      <c r="D231" s="406">
        <f>D68</f>
        <v>2160</v>
      </c>
      <c r="E231" s="406">
        <f>E68</f>
        <v>2086</v>
      </c>
      <c r="F231" s="406">
        <f>F68</f>
        <v>2170</v>
      </c>
      <c r="G231" s="406">
        <f>G68</f>
        <v>2255</v>
      </c>
      <c r="H231" s="402">
        <f>SUM(D231:G231)</f>
        <v>8671</v>
      </c>
    </row>
    <row r="232" spans="1:14" ht="16.2" thickBot="1" x14ac:dyDescent="0.35">
      <c r="A232" s="2"/>
      <c r="B232" s="312" t="s">
        <v>150</v>
      </c>
      <c r="C232" s="395"/>
      <c r="D232" s="407">
        <f t="shared" ref="D232:G232" si="47">$A$207</f>
        <v>0.2</v>
      </c>
      <c r="E232" s="407">
        <f t="shared" si="47"/>
        <v>0.2</v>
      </c>
      <c r="F232" s="407">
        <f t="shared" si="47"/>
        <v>0.2</v>
      </c>
      <c r="G232" s="407">
        <f t="shared" si="47"/>
        <v>0.2</v>
      </c>
      <c r="H232" s="401" t="s">
        <v>34</v>
      </c>
    </row>
    <row r="233" spans="1:14" ht="16.2" thickBot="1" x14ac:dyDescent="0.35">
      <c r="A233" s="2"/>
      <c r="B233" s="312" t="s">
        <v>151</v>
      </c>
      <c r="C233" s="395"/>
      <c r="D233" s="407">
        <f>D243/D68</f>
        <v>1.7569733505927172</v>
      </c>
      <c r="E233" s="407">
        <f>E243/E68</f>
        <v>1.9049146406227011</v>
      </c>
      <c r="F233" s="407">
        <f>F243/F68</f>
        <v>1.8307402481136166</v>
      </c>
      <c r="G233" s="407">
        <f>G243/G68</f>
        <v>1.7668453540128126</v>
      </c>
      <c r="H233" s="401" t="s">
        <v>34</v>
      </c>
    </row>
    <row r="234" spans="1:14" ht="16.2" thickBot="1" x14ac:dyDescent="0.35">
      <c r="A234" s="2"/>
      <c r="B234" s="289" t="s">
        <v>153</v>
      </c>
      <c r="C234" s="395"/>
      <c r="D234" s="408">
        <f>D232+D233</f>
        <v>1.9569733505927172</v>
      </c>
      <c r="E234" s="408">
        <f t="shared" ref="E234:G234" si="48">E232+E233</f>
        <v>2.1049146406227011</v>
      </c>
      <c r="F234" s="408">
        <f t="shared" si="48"/>
        <v>2.0307402481136165</v>
      </c>
      <c r="G234" s="408">
        <f t="shared" si="48"/>
        <v>1.9668453540128126</v>
      </c>
      <c r="H234" s="401" t="s">
        <v>34</v>
      </c>
    </row>
    <row r="235" spans="1:14" ht="16.2" thickBot="1" x14ac:dyDescent="0.35">
      <c r="A235" s="2"/>
      <c r="B235" s="347" t="s">
        <v>154</v>
      </c>
      <c r="C235" s="394"/>
      <c r="D235" s="409"/>
      <c r="E235" s="409"/>
      <c r="F235" s="409"/>
      <c r="G235" s="409"/>
      <c r="H235" s="409"/>
    </row>
    <row r="236" spans="1:14" ht="16.2" thickBot="1" x14ac:dyDescent="0.35">
      <c r="B236" s="396" t="s">
        <v>132</v>
      </c>
      <c r="C236" s="397"/>
      <c r="D236" s="434">
        <f t="shared" ref="D236:G236" si="49">$A$206</f>
        <v>2500</v>
      </c>
      <c r="E236" s="434">
        <f t="shared" si="49"/>
        <v>2500</v>
      </c>
      <c r="F236" s="410">
        <f t="shared" si="49"/>
        <v>2500</v>
      </c>
      <c r="G236" s="410">
        <f t="shared" si="49"/>
        <v>2500</v>
      </c>
      <c r="H236" s="402">
        <f>SUM(D236:G236)</f>
        <v>10000</v>
      </c>
      <c r="N236" s="142" t="str">
        <f>'[2]Б ОПР'!A9</f>
        <v xml:space="preserve">Амортизация оборудования, </v>
      </c>
    </row>
    <row r="237" spans="1:14" ht="16.2" thickBot="1" x14ac:dyDescent="0.35">
      <c r="B237" s="396" t="s">
        <v>134</v>
      </c>
      <c r="C237" s="397"/>
      <c r="D237" s="434">
        <f>D236*ЄСВ</f>
        <v>550</v>
      </c>
      <c r="E237" s="434">
        <f>E236*ЄСВ</f>
        <v>550</v>
      </c>
      <c r="F237" s="410">
        <f>F236*ЄСВ</f>
        <v>550</v>
      </c>
      <c r="G237" s="410">
        <f>G236*ЄСВ</f>
        <v>550</v>
      </c>
      <c r="H237" s="402">
        <f t="shared" ref="H237:H249" si="50">SUM(D237:G237)</f>
        <v>2200</v>
      </c>
      <c r="N237" s="142" t="str">
        <f>'[2]Б ОПР'!A10</f>
        <v>Уборка производственных помещений,</v>
      </c>
    </row>
    <row r="238" spans="1:14" ht="16.2" thickBot="1" x14ac:dyDescent="0.35">
      <c r="B238" s="314" t="s">
        <v>135</v>
      </c>
      <c r="C238" s="328"/>
      <c r="D238" s="322">
        <f>($A$209-$A$213)*$A$217/4</f>
        <v>66.938943894389439</v>
      </c>
      <c r="E238" s="322">
        <f t="shared" ref="E238:G238" si="51">($A$209-$A$213)*$A$217/4</f>
        <v>66.938943894389439</v>
      </c>
      <c r="F238" s="322">
        <f t="shared" si="51"/>
        <v>66.938943894389439</v>
      </c>
      <c r="G238" s="322">
        <f t="shared" si="51"/>
        <v>66.938943894389439</v>
      </c>
      <c r="H238" s="402">
        <f t="shared" si="50"/>
        <v>267.75577557755776</v>
      </c>
      <c r="N238" s="142" t="str">
        <f>'[2]Б ОПР'!A11</f>
        <v xml:space="preserve">Страхование имущества, </v>
      </c>
    </row>
    <row r="239" spans="1:14" ht="33" customHeight="1" thickBot="1" x14ac:dyDescent="0.35">
      <c r="B239" s="398" t="s">
        <v>136</v>
      </c>
      <c r="C239" s="399"/>
      <c r="D239" s="411">
        <f>$A$214*$A$218/4</f>
        <v>158.80420737705427</v>
      </c>
      <c r="E239" s="411">
        <f t="shared" ref="E239:G239" si="52">$A$214*$A$218/4</f>
        <v>158.80420737705427</v>
      </c>
      <c r="F239" s="411">
        <f t="shared" si="52"/>
        <v>158.80420737705427</v>
      </c>
      <c r="G239" s="411">
        <f t="shared" si="52"/>
        <v>158.80420737705427</v>
      </c>
      <c r="H239" s="402">
        <f t="shared" si="50"/>
        <v>635.21682950821707</v>
      </c>
      <c r="N239" s="142" t="str">
        <f>'[2]Б ОПР'!A12</f>
        <v xml:space="preserve">Прочие ОПР, </v>
      </c>
    </row>
    <row r="240" spans="1:14" ht="18" customHeight="1" thickBot="1" x14ac:dyDescent="0.35">
      <c r="B240" s="398" t="s">
        <v>289</v>
      </c>
      <c r="C240" s="399"/>
      <c r="D240" s="435">
        <f>$A$208</f>
        <v>2400</v>
      </c>
      <c r="E240" s="411">
        <f t="shared" ref="E240:G240" si="53">$A$208</f>
        <v>2400</v>
      </c>
      <c r="F240" s="411">
        <f t="shared" si="53"/>
        <v>2400</v>
      </c>
      <c r="G240" s="411">
        <f t="shared" si="53"/>
        <v>2400</v>
      </c>
      <c r="H240" s="402">
        <f t="shared" si="50"/>
        <v>9600</v>
      </c>
      <c r="N240" s="142"/>
    </row>
    <row r="241" spans="1:9" ht="42" customHeight="1" thickBot="1" x14ac:dyDescent="0.35">
      <c r="A241" s="285" t="s">
        <v>301</v>
      </c>
      <c r="B241" s="317" t="s">
        <v>155</v>
      </c>
      <c r="C241" s="399"/>
      <c r="D241" s="436">
        <f>SUM(D236:D240)</f>
        <v>5675.7431512714438</v>
      </c>
      <c r="E241" s="412">
        <f t="shared" ref="E241:G241" si="54">SUM(E236:E240)</f>
        <v>5675.7431512714438</v>
      </c>
      <c r="F241" s="412">
        <f t="shared" si="54"/>
        <v>5675.7431512714438</v>
      </c>
      <c r="G241" s="412">
        <f t="shared" si="54"/>
        <v>5675.7431512714438</v>
      </c>
      <c r="H241" s="402">
        <f t="shared" si="50"/>
        <v>22702.972605085775</v>
      </c>
    </row>
    <row r="242" spans="1:9" ht="16.5" customHeight="1" thickBot="1" x14ac:dyDescent="0.35">
      <c r="B242" s="312" t="s">
        <v>23</v>
      </c>
      <c r="C242" s="328"/>
      <c r="D242" s="322">
        <f>D241*(D92/D101)</f>
        <v>1880.680713991175</v>
      </c>
      <c r="E242" s="322">
        <f>E241*(E92/E101)</f>
        <v>1702.0912109324895</v>
      </c>
      <c r="F242" s="322">
        <f>F241*(F92/F101)</f>
        <v>1703.0368128648956</v>
      </c>
      <c r="G242" s="322">
        <f>G241*(G92/G101)</f>
        <v>1691.5068779725511</v>
      </c>
      <c r="H242" s="402">
        <f t="shared" si="50"/>
        <v>6977.315615761112</v>
      </c>
      <c r="I242" s="393" t="e">
        <f ca="1">_xlfn.FORMULATEXT(D242)</f>
        <v>#NAME?</v>
      </c>
    </row>
    <row r="243" spans="1:9" ht="16.2" thickBot="1" x14ac:dyDescent="0.35">
      <c r="B243" s="312" t="s">
        <v>27</v>
      </c>
      <c r="C243" s="328"/>
      <c r="D243" s="322">
        <f>D241*(D99/(D101))</f>
        <v>3795.062437280269</v>
      </c>
      <c r="E243" s="322">
        <f t="shared" ref="E243:G243" si="55">E241*(E99/(E101))</f>
        <v>3973.6519403389543</v>
      </c>
      <c r="F243" s="322">
        <f t="shared" si="55"/>
        <v>3972.7063384065482</v>
      </c>
      <c r="G243" s="322">
        <f t="shared" si="55"/>
        <v>3984.2362732988927</v>
      </c>
      <c r="H243" s="402">
        <f t="shared" si="50"/>
        <v>15725.656989324665</v>
      </c>
      <c r="I243" s="393" t="e">
        <f ca="1">_xlfn.FORMULATEXT(D243)</f>
        <v>#NAME?</v>
      </c>
    </row>
    <row r="244" spans="1:9" ht="16.2" thickBot="1" x14ac:dyDescent="0.35">
      <c r="B244" s="289" t="s">
        <v>269</v>
      </c>
      <c r="C244" s="329"/>
      <c r="D244" s="413">
        <f>D245+D246</f>
        <v>652</v>
      </c>
      <c r="E244" s="413">
        <f t="shared" ref="E244:G244" si="56">E245+E246</f>
        <v>619.40000000000009</v>
      </c>
      <c r="F244" s="413">
        <f t="shared" si="56"/>
        <v>642.6</v>
      </c>
      <c r="G244" s="413">
        <f t="shared" si="56"/>
        <v>665.8</v>
      </c>
      <c r="H244" s="402">
        <f t="shared" si="50"/>
        <v>2579.8000000000002</v>
      </c>
    </row>
    <row r="245" spans="1:9" ht="16.2" thickBot="1" x14ac:dyDescent="0.35">
      <c r="B245" s="312" t="s">
        <v>23</v>
      </c>
      <c r="C245" s="328"/>
      <c r="D245" s="322">
        <f>D227*D226</f>
        <v>220</v>
      </c>
      <c r="E245" s="322">
        <f>E227*E226</f>
        <v>202.20000000000002</v>
      </c>
      <c r="F245" s="322">
        <f>F227*F226</f>
        <v>208.60000000000002</v>
      </c>
      <c r="G245" s="322">
        <f>G227*G226</f>
        <v>214.8</v>
      </c>
      <c r="H245" s="402">
        <f t="shared" si="50"/>
        <v>845.60000000000014</v>
      </c>
    </row>
    <row r="246" spans="1:9" ht="16.2" thickBot="1" x14ac:dyDescent="0.35">
      <c r="B246" s="312" t="s">
        <v>27</v>
      </c>
      <c r="C246" s="328"/>
      <c r="D246" s="322">
        <f>D232*D231</f>
        <v>432</v>
      </c>
      <c r="E246" s="322">
        <f>E232*E231</f>
        <v>417.20000000000005</v>
      </c>
      <c r="F246" s="322">
        <f>F232*F231</f>
        <v>434</v>
      </c>
      <c r="G246" s="322">
        <f>G232*G231</f>
        <v>451</v>
      </c>
      <c r="H246" s="402">
        <f t="shared" si="50"/>
        <v>1734.2</v>
      </c>
    </row>
    <row r="247" spans="1:9" ht="16.2" thickBot="1" x14ac:dyDescent="0.35">
      <c r="B247" s="316" t="s">
        <v>137</v>
      </c>
      <c r="C247" s="328"/>
      <c r="D247" s="413">
        <f>D248+D249</f>
        <v>6327.7431512714447</v>
      </c>
      <c r="E247" s="413">
        <f t="shared" ref="E247:G247" si="57">E248+E249</f>
        <v>6295.1431512714444</v>
      </c>
      <c r="F247" s="413">
        <f t="shared" si="57"/>
        <v>6318.3431512714433</v>
      </c>
      <c r="G247" s="413">
        <f t="shared" si="57"/>
        <v>6341.543151271444</v>
      </c>
      <c r="H247" s="402">
        <f t="shared" si="50"/>
        <v>25282.772605085775</v>
      </c>
    </row>
    <row r="248" spans="1:9" ht="16.2" thickBot="1" x14ac:dyDescent="0.35">
      <c r="B248" s="312" t="s">
        <v>23</v>
      </c>
      <c r="C248" s="328"/>
      <c r="D248" s="322">
        <f>D226*D229</f>
        <v>2100.6807139911753</v>
      </c>
      <c r="E248" s="322">
        <f t="shared" ref="E248:G248" si="58">E242+E245</f>
        <v>1904.2912109324895</v>
      </c>
      <c r="F248" s="322">
        <f t="shared" si="58"/>
        <v>1911.6368128648955</v>
      </c>
      <c r="G248" s="322">
        <f t="shared" si="58"/>
        <v>1906.3068779725511</v>
      </c>
      <c r="H248" s="402">
        <f t="shared" si="50"/>
        <v>7822.9156157611114</v>
      </c>
    </row>
    <row r="249" spans="1:9" ht="16.2" thickBot="1" x14ac:dyDescent="0.35">
      <c r="B249" s="312" t="s">
        <v>27</v>
      </c>
      <c r="C249" s="328"/>
      <c r="D249" s="322">
        <f>D231*D234</f>
        <v>4227.0624372802695</v>
      </c>
      <c r="E249" s="322">
        <f t="shared" ref="E249:G249" si="59">E243+E246</f>
        <v>4390.8519403389546</v>
      </c>
      <c r="F249" s="322">
        <f t="shared" si="59"/>
        <v>4406.7063384065477</v>
      </c>
      <c r="G249" s="322">
        <f t="shared" si="59"/>
        <v>4435.2362732988931</v>
      </c>
      <c r="H249" s="400">
        <f t="shared" si="50"/>
        <v>17459.856989324668</v>
      </c>
    </row>
    <row r="250" spans="1:9" ht="15" thickBot="1" x14ac:dyDescent="0.35">
      <c r="D250" s="259"/>
      <c r="E250" s="259"/>
      <c r="F250" s="259"/>
      <c r="G250" s="259"/>
    </row>
    <row r="251" spans="1:9" ht="18" thickBot="1" x14ac:dyDescent="0.35">
      <c r="B251" s="381"/>
      <c r="C251" s="381" t="s">
        <v>138</v>
      </c>
      <c r="D251" s="382"/>
      <c r="E251" s="382"/>
      <c r="F251" s="382"/>
      <c r="G251" s="382"/>
      <c r="H251" s="382"/>
    </row>
    <row r="252" spans="1:9" ht="16.2" thickBot="1" x14ac:dyDescent="0.35">
      <c r="B252" s="290" t="s">
        <v>13</v>
      </c>
      <c r="C252" s="289"/>
      <c r="D252" s="289" t="s">
        <v>77</v>
      </c>
      <c r="E252" s="290"/>
      <c r="F252" s="290"/>
      <c r="G252" s="290" t="s">
        <v>32</v>
      </c>
      <c r="H252" s="290" t="s">
        <v>16</v>
      </c>
    </row>
    <row r="253" spans="1:9" ht="16.2" thickBot="1" x14ac:dyDescent="0.35">
      <c r="B253" s="290"/>
      <c r="C253" s="309" t="s">
        <v>18</v>
      </c>
      <c r="D253" s="309" t="s">
        <v>19</v>
      </c>
      <c r="E253" s="309" t="s">
        <v>20</v>
      </c>
      <c r="F253" s="309" t="s">
        <v>21</v>
      </c>
      <c r="G253" s="309" t="s">
        <v>18</v>
      </c>
      <c r="H253" s="290" t="s">
        <v>22</v>
      </c>
    </row>
    <row r="254" spans="1:9" ht="16.2" thickBot="1" x14ac:dyDescent="0.35">
      <c r="B254" s="382" t="s">
        <v>139</v>
      </c>
      <c r="C254" s="383">
        <f>SUM(C255:C258)</f>
        <v>6712.4</v>
      </c>
      <c r="D254" s="383">
        <f t="shared" ref="D254:F254" si="60">SUM(D255:D258)</f>
        <v>6673.2800000000007</v>
      </c>
      <c r="E254" s="383">
        <f t="shared" si="60"/>
        <v>6701.12</v>
      </c>
      <c r="F254" s="383">
        <f t="shared" si="60"/>
        <v>6728.96</v>
      </c>
      <c r="G254" s="230" t="s">
        <v>34</v>
      </c>
      <c r="H254" s="299">
        <f>SUM(C254:F254)</f>
        <v>26815.759999999998</v>
      </c>
    </row>
    <row r="255" spans="1:9" ht="16.2" thickBot="1" x14ac:dyDescent="0.35">
      <c r="B255" s="382" t="s">
        <v>140</v>
      </c>
      <c r="C255" s="383">
        <f t="shared" ref="C255:F256" si="61">D236</f>
        <v>2500</v>
      </c>
      <c r="D255" s="383">
        <f t="shared" si="61"/>
        <v>2500</v>
      </c>
      <c r="E255" s="383">
        <f t="shared" si="61"/>
        <v>2500</v>
      </c>
      <c r="F255" s="383">
        <f t="shared" si="61"/>
        <v>2500</v>
      </c>
      <c r="G255" s="230" t="s">
        <v>34</v>
      </c>
      <c r="H255" s="299">
        <f>SUM(C255:F255)</f>
        <v>10000</v>
      </c>
    </row>
    <row r="256" spans="1:9" ht="16.2" thickBot="1" x14ac:dyDescent="0.35">
      <c r="B256" s="382" t="s">
        <v>134</v>
      </c>
      <c r="C256" s="383">
        <f t="shared" si="61"/>
        <v>550</v>
      </c>
      <c r="D256" s="383">
        <f t="shared" si="61"/>
        <v>550</v>
      </c>
      <c r="E256" s="383">
        <f t="shared" si="61"/>
        <v>550</v>
      </c>
      <c r="F256" s="383">
        <f t="shared" si="61"/>
        <v>550</v>
      </c>
      <c r="G256" s="230" t="s">
        <v>34</v>
      </c>
      <c r="H256" s="299">
        <f>SUM(C256:F256)</f>
        <v>2200</v>
      </c>
    </row>
    <row r="257" spans="1:8" ht="16.2" thickBot="1" x14ac:dyDescent="0.35">
      <c r="B257" s="382" t="s">
        <v>313</v>
      </c>
      <c r="C257" s="383">
        <f>D244*(1+ПДВ)</f>
        <v>782.4</v>
      </c>
      <c r="D257" s="383">
        <f>E244*(1+ПДВ)</f>
        <v>743.28000000000009</v>
      </c>
      <c r="E257" s="383">
        <f>F244*(1+ПДВ)</f>
        <v>771.12</v>
      </c>
      <c r="F257" s="383">
        <f>G244*(1+ПДВ)</f>
        <v>798.95999999999992</v>
      </c>
      <c r="G257" s="230" t="s">
        <v>34</v>
      </c>
      <c r="H257" s="299">
        <f t="shared" ref="H257:H258" si="62">SUM(C257:F257)</f>
        <v>3095.76</v>
      </c>
    </row>
    <row r="258" spans="1:8" ht="16.2" thickBot="1" x14ac:dyDescent="0.35">
      <c r="B258" s="106" t="s">
        <v>289</v>
      </c>
      <c r="C258" s="383">
        <f>D240*(1+ПДВ)</f>
        <v>2880</v>
      </c>
      <c r="D258" s="383">
        <f>E240*(1+ПДВ)</f>
        <v>2880</v>
      </c>
      <c r="E258" s="383">
        <f>F240*(1+ПДВ)</f>
        <v>2880</v>
      </c>
      <c r="F258" s="383">
        <f>G240*(1+ПДВ)</f>
        <v>2880</v>
      </c>
      <c r="G258" s="230" t="s">
        <v>34</v>
      </c>
      <c r="H258" s="299">
        <f t="shared" si="62"/>
        <v>11520</v>
      </c>
    </row>
    <row r="259" spans="1:8" ht="16.2" thickBot="1" x14ac:dyDescent="0.35">
      <c r="B259" s="382" t="s">
        <v>144</v>
      </c>
      <c r="C259" s="384">
        <v>0</v>
      </c>
      <c r="D259" s="384">
        <f>C260</f>
        <v>1550</v>
      </c>
      <c r="E259" s="385">
        <f>D260</f>
        <v>1550</v>
      </c>
      <c r="F259" s="385">
        <f>E260</f>
        <v>1549.9999999999991</v>
      </c>
      <c r="G259" s="385">
        <f>F260</f>
        <v>1549.9999999999991</v>
      </c>
      <c r="H259" s="230" t="s">
        <v>34</v>
      </c>
    </row>
    <row r="260" spans="1:8" ht="16.2" thickBot="1" x14ac:dyDescent="0.35">
      <c r="B260" s="382" t="s">
        <v>145</v>
      </c>
      <c r="C260" s="386">
        <f>C254+C259-C268</f>
        <v>1550</v>
      </c>
      <c r="D260" s="386">
        <f>D254+D259-D268</f>
        <v>1550</v>
      </c>
      <c r="E260" s="386">
        <f>E254+E259-E268</f>
        <v>1549.9999999999991</v>
      </c>
      <c r="F260" s="386">
        <f>F254+F259-F268</f>
        <v>1549.9999999999991</v>
      </c>
      <c r="G260" s="386"/>
      <c r="H260" s="230" t="s">
        <v>34</v>
      </c>
    </row>
    <row r="261" spans="1:8" ht="16.2" thickBot="1" x14ac:dyDescent="0.35">
      <c r="B261" s="289" t="s">
        <v>141</v>
      </c>
      <c r="C261" s="387"/>
      <c r="D261" s="388"/>
      <c r="E261" s="388"/>
      <c r="F261" s="387"/>
      <c r="G261" s="387"/>
      <c r="H261" s="389"/>
    </row>
    <row r="262" spans="1:8" ht="16.2" thickBot="1" x14ac:dyDescent="0.35">
      <c r="B262" s="390" t="s">
        <v>39</v>
      </c>
      <c r="C262" s="384"/>
      <c r="D262" s="384"/>
      <c r="E262" s="384"/>
      <c r="F262" s="384"/>
      <c r="G262" s="384"/>
      <c r="H262" s="391">
        <f>SUM(C262:G262)</f>
        <v>0</v>
      </c>
    </row>
    <row r="263" spans="1:8" ht="16.2" thickBot="1" x14ac:dyDescent="0.35">
      <c r="B263" s="390" t="s">
        <v>40</v>
      </c>
      <c r="C263" s="384">
        <f>C$255*$A$219+C$257+C$258</f>
        <v>5162.3999999999996</v>
      </c>
      <c r="D263" s="384">
        <f>C$255*$A$220+C$256</f>
        <v>1550</v>
      </c>
      <c r="E263" s="384"/>
      <c r="F263" s="384"/>
      <c r="G263" s="230" t="s">
        <v>34</v>
      </c>
      <c r="H263" s="391">
        <f t="shared" ref="H263:H266" si="63">SUM(C263:G263)</f>
        <v>6712.4</v>
      </c>
    </row>
    <row r="264" spans="1:8" ht="16.2" thickBot="1" x14ac:dyDescent="0.35">
      <c r="B264" s="390" t="s">
        <v>41</v>
      </c>
      <c r="C264" s="384"/>
      <c r="D264" s="384">
        <f>D$255*$A$219+D$257+D$258</f>
        <v>5123.2800000000007</v>
      </c>
      <c r="E264" s="384">
        <f>D$255*$A$220+D$256</f>
        <v>1550</v>
      </c>
      <c r="F264" s="384"/>
      <c r="G264" s="230" t="s">
        <v>34</v>
      </c>
      <c r="H264" s="391">
        <f t="shared" si="63"/>
        <v>6673.2800000000007</v>
      </c>
    </row>
    <row r="265" spans="1:8" ht="16.2" thickBot="1" x14ac:dyDescent="0.35">
      <c r="B265" s="390" t="s">
        <v>42</v>
      </c>
      <c r="C265" s="384"/>
      <c r="D265" s="384"/>
      <c r="E265" s="384">
        <f>E$255*$A$219+E$257+E$258</f>
        <v>5151.12</v>
      </c>
      <c r="F265" s="384">
        <f>E$255*$A$220+E$256</f>
        <v>1550</v>
      </c>
      <c r="G265" s="230" t="s">
        <v>34</v>
      </c>
      <c r="H265" s="391">
        <f t="shared" si="63"/>
        <v>6701.12</v>
      </c>
    </row>
    <row r="266" spans="1:8" ht="16.2" thickBot="1" x14ac:dyDescent="0.35">
      <c r="B266" s="390" t="s">
        <v>43</v>
      </c>
      <c r="C266" s="384"/>
      <c r="D266" s="384"/>
      <c r="E266" s="384"/>
      <c r="F266" s="384">
        <f>F$255*$A$219+F$257+F$258</f>
        <v>5178.96</v>
      </c>
      <c r="G266" s="384">
        <f>F$255*$A$220+F$256</f>
        <v>1550</v>
      </c>
      <c r="H266" s="391">
        <f t="shared" si="63"/>
        <v>6728.96</v>
      </c>
    </row>
    <row r="267" spans="1:8" ht="16.2" thickBot="1" x14ac:dyDescent="0.35">
      <c r="B267" s="290" t="s">
        <v>44</v>
      </c>
      <c r="C267" s="384"/>
      <c r="D267" s="384"/>
      <c r="E267" s="384"/>
      <c r="F267" s="384"/>
      <c r="G267" s="384"/>
      <c r="H267" s="392">
        <f>SUM(H262:H266)</f>
        <v>26815.759999999998</v>
      </c>
    </row>
    <row r="268" spans="1:8" ht="16.2" thickBot="1" x14ac:dyDescent="0.35">
      <c r="B268" s="290" t="s">
        <v>82</v>
      </c>
      <c r="C268" s="391">
        <f>SUM(C262:C266)</f>
        <v>5162.3999999999996</v>
      </c>
      <c r="D268" s="391">
        <f t="shared" ref="D268:G268" si="64">SUM(D262:D266)</f>
        <v>6673.2800000000007</v>
      </c>
      <c r="E268" s="391">
        <f t="shared" si="64"/>
        <v>6701.12</v>
      </c>
      <c r="F268" s="391">
        <f t="shared" si="64"/>
        <v>6728.96</v>
      </c>
      <c r="G268" s="391">
        <f t="shared" si="64"/>
        <v>1550</v>
      </c>
      <c r="H268" s="391">
        <f>SUM(C268:G268)</f>
        <v>26815.759999999998</v>
      </c>
    </row>
    <row r="270" spans="1:8" ht="17.399999999999999" x14ac:dyDescent="0.3">
      <c r="A270" s="282"/>
      <c r="B270" s="51" t="s">
        <v>146</v>
      </c>
      <c r="C270" s="437"/>
      <c r="D270" s="437"/>
      <c r="E270" s="2"/>
      <c r="F270" s="2"/>
      <c r="G270" s="2"/>
      <c r="H270" s="2"/>
    </row>
    <row r="271" spans="1:8" ht="23.4" thickBot="1" x14ac:dyDescent="0.45">
      <c r="B271" s="152"/>
      <c r="C271" s="153"/>
      <c r="D271" s="153"/>
      <c r="E271" s="114"/>
      <c r="F271" s="114"/>
      <c r="G271" s="114"/>
      <c r="H271" s="114"/>
    </row>
    <row r="272" spans="1:8" ht="15.6" x14ac:dyDescent="0.3">
      <c r="B272" s="18" t="s">
        <v>13</v>
      </c>
      <c r="C272" s="18" t="s">
        <v>14</v>
      </c>
      <c r="D272" s="19"/>
      <c r="E272" s="19" t="s">
        <v>66</v>
      </c>
      <c r="F272" s="19"/>
      <c r="G272" s="20"/>
      <c r="H272" s="18" t="s">
        <v>16</v>
      </c>
    </row>
    <row r="273" spans="2:13" ht="15.6" x14ac:dyDescent="0.3">
      <c r="B273" s="118"/>
      <c r="C273" s="118" t="s">
        <v>17</v>
      </c>
      <c r="D273" s="154" t="s">
        <v>18</v>
      </c>
      <c r="E273" s="154" t="s">
        <v>19</v>
      </c>
      <c r="F273" s="154" t="s">
        <v>20</v>
      </c>
      <c r="G273" s="154" t="s">
        <v>21</v>
      </c>
      <c r="H273" s="118" t="s">
        <v>22</v>
      </c>
    </row>
    <row r="274" spans="2:13" ht="15.6" x14ac:dyDescent="0.3">
      <c r="B274" s="53" t="s">
        <v>23</v>
      </c>
      <c r="C274" s="118"/>
      <c r="D274" s="154"/>
      <c r="E274" s="154"/>
      <c r="F274" s="154"/>
      <c r="G274" s="154"/>
      <c r="H274" s="118"/>
    </row>
    <row r="275" spans="2:13" ht="15.6" x14ac:dyDescent="0.3">
      <c r="B275" s="54" t="s">
        <v>147</v>
      </c>
      <c r="C275" s="118"/>
      <c r="D275" s="265">
        <f>$A$75*$A$77</f>
        <v>4</v>
      </c>
      <c r="E275" s="265">
        <f t="shared" ref="E275:G275" si="65">$A$75*$A$77</f>
        <v>4</v>
      </c>
      <c r="F275" s="265">
        <f t="shared" si="65"/>
        <v>4</v>
      </c>
      <c r="G275" s="265">
        <f t="shared" si="65"/>
        <v>4</v>
      </c>
      <c r="H275" s="118"/>
    </row>
    <row r="276" spans="2:13" ht="15.6" x14ac:dyDescent="0.3">
      <c r="B276" s="54" t="s">
        <v>148</v>
      </c>
      <c r="C276" s="118"/>
      <c r="D276" s="265">
        <f>D138</f>
        <v>3</v>
      </c>
      <c r="E276" s="265">
        <f>E138</f>
        <v>3</v>
      </c>
      <c r="F276" s="265">
        <f>F138</f>
        <v>3</v>
      </c>
      <c r="G276" s="265">
        <f>G138</f>
        <v>3</v>
      </c>
      <c r="H276" s="118"/>
    </row>
    <row r="277" spans="2:13" ht="15.6" x14ac:dyDescent="0.3">
      <c r="B277" s="155" t="s">
        <v>111</v>
      </c>
      <c r="C277" s="118"/>
      <c r="D277" s="265">
        <f>D176</f>
        <v>0.91</v>
      </c>
      <c r="E277" s="265">
        <f>E176</f>
        <v>0.91250000000000009</v>
      </c>
      <c r="F277" s="265">
        <f>F176</f>
        <v>0.91502499999999998</v>
      </c>
      <c r="G277" s="265">
        <f>G176</f>
        <v>0.91757525000000006</v>
      </c>
      <c r="H277" s="118"/>
    </row>
    <row r="278" spans="2:13" ht="15.6" x14ac:dyDescent="0.3">
      <c r="B278" s="54" t="s">
        <v>156</v>
      </c>
      <c r="C278" s="118"/>
      <c r="D278" s="265">
        <f>D229</f>
        <v>1.9097097399919774</v>
      </c>
      <c r="E278" s="265">
        <f>E229</f>
        <v>1.8835719198145295</v>
      </c>
      <c r="F278" s="265">
        <f>F229</f>
        <v>1.8328253239356622</v>
      </c>
      <c r="G278" s="265">
        <f>G229</f>
        <v>1.7749598491364535</v>
      </c>
      <c r="H278" s="118"/>
    </row>
    <row r="279" spans="2:13" ht="15.6" x14ac:dyDescent="0.3">
      <c r="B279" s="53" t="s">
        <v>149</v>
      </c>
      <c r="C279" s="118"/>
      <c r="D279" s="265">
        <f>SUM(D275:D278)</f>
        <v>9.8197097399919784</v>
      </c>
      <c r="E279" s="265">
        <f t="shared" ref="E279:G279" si="66">SUM(E275:E278)</f>
        <v>9.7960719198145298</v>
      </c>
      <c r="F279" s="265">
        <f t="shared" si="66"/>
        <v>9.747850323935662</v>
      </c>
      <c r="G279" s="265">
        <f t="shared" si="66"/>
        <v>9.6925350991364532</v>
      </c>
      <c r="H279" s="118"/>
    </row>
    <row r="280" spans="2:13" ht="15.6" x14ac:dyDescent="0.3">
      <c r="B280" s="157" t="s">
        <v>157</v>
      </c>
      <c r="C280" s="118"/>
      <c r="D280" s="265">
        <f>D279*D226</f>
        <v>10801.680713991176</v>
      </c>
      <c r="E280" s="265">
        <f>E279*E226</f>
        <v>9903.8287109324901</v>
      </c>
      <c r="F280" s="265">
        <f>F279*F226</f>
        <v>10167.007887864895</v>
      </c>
      <c r="G280" s="265">
        <f>G279*G226</f>
        <v>10409.78269647255</v>
      </c>
      <c r="H280" s="118"/>
    </row>
    <row r="281" spans="2:13" ht="15.6" x14ac:dyDescent="0.3">
      <c r="B281" s="53" t="s">
        <v>27</v>
      </c>
      <c r="C281" s="118"/>
      <c r="D281" s="265"/>
      <c r="E281" s="265"/>
      <c r="F281" s="265"/>
      <c r="G281" s="265"/>
      <c r="H281" s="118"/>
    </row>
    <row r="282" spans="2:13" ht="15.6" x14ac:dyDescent="0.3">
      <c r="B282" s="54" t="s">
        <v>147</v>
      </c>
      <c r="C282" s="118"/>
      <c r="D282" s="265">
        <f>$A$76*$A$78</f>
        <v>4.5</v>
      </c>
      <c r="E282" s="265">
        <f t="shared" ref="E282:G282" si="67">$A$76*$A$78</f>
        <v>4.5</v>
      </c>
      <c r="F282" s="265">
        <f t="shared" si="67"/>
        <v>4.5</v>
      </c>
      <c r="G282" s="265">
        <f t="shared" si="67"/>
        <v>4.5</v>
      </c>
      <c r="H282" s="118"/>
    </row>
    <row r="283" spans="2:13" ht="15.6" x14ac:dyDescent="0.3">
      <c r="B283" s="54" t="s">
        <v>148</v>
      </c>
      <c r="C283" s="118"/>
      <c r="D283" s="265">
        <f>D143</f>
        <v>2</v>
      </c>
      <c r="E283" s="265">
        <f>E143</f>
        <v>2</v>
      </c>
      <c r="F283" s="265">
        <f>F143</f>
        <v>2</v>
      </c>
      <c r="G283" s="265">
        <f>G143</f>
        <v>2</v>
      </c>
      <c r="H283" s="118"/>
    </row>
    <row r="284" spans="2:13" ht="15.6" x14ac:dyDescent="0.3">
      <c r="B284" s="155" t="s">
        <v>111</v>
      </c>
      <c r="C284" s="118"/>
      <c r="D284" s="265">
        <f>D182</f>
        <v>0.74</v>
      </c>
      <c r="E284" s="265">
        <f>E182</f>
        <v>0.746</v>
      </c>
      <c r="F284" s="265">
        <f>F182</f>
        <v>0.75212000000000012</v>
      </c>
      <c r="G284" s="265">
        <f>G182</f>
        <v>0.75836239999999999</v>
      </c>
      <c r="H284" s="118"/>
    </row>
    <row r="285" spans="2:13" ht="15.6" x14ac:dyDescent="0.3">
      <c r="B285" s="54" t="s">
        <v>156</v>
      </c>
      <c r="C285" s="118"/>
      <c r="D285" s="265">
        <f>D234</f>
        <v>1.9569733505927172</v>
      </c>
      <c r="E285" s="265">
        <f>E234</f>
        <v>2.1049146406227011</v>
      </c>
      <c r="F285" s="265">
        <f>F234</f>
        <v>2.0307402481136165</v>
      </c>
      <c r="G285" s="265">
        <f>G234</f>
        <v>1.9668453540128126</v>
      </c>
      <c r="H285" s="118"/>
    </row>
    <row r="286" spans="2:13" ht="15.6" x14ac:dyDescent="0.3">
      <c r="B286" s="53" t="s">
        <v>149</v>
      </c>
      <c r="C286" s="118"/>
      <c r="D286" s="265">
        <f>SUM(D282:D285)</f>
        <v>9.1969733505927174</v>
      </c>
      <c r="E286" s="265">
        <f t="shared" ref="E286:G286" si="68">SUM(E282:E285)</f>
        <v>9.3509146406227011</v>
      </c>
      <c r="F286" s="265">
        <f t="shared" si="68"/>
        <v>9.2828602481136162</v>
      </c>
      <c r="G286" s="265">
        <f t="shared" si="68"/>
        <v>9.2252077540128123</v>
      </c>
      <c r="H286" s="118"/>
    </row>
    <row r="287" spans="2:13" ht="15.6" x14ac:dyDescent="0.3">
      <c r="B287" s="157" t="s">
        <v>158</v>
      </c>
      <c r="C287" s="118"/>
      <c r="D287" s="265">
        <f>D286*D231</f>
        <v>19865.462437280268</v>
      </c>
      <c r="E287" s="265">
        <f>E286*E231</f>
        <v>19506.007940338954</v>
      </c>
      <c r="F287" s="265">
        <f>F286*F231</f>
        <v>20143.806738406547</v>
      </c>
      <c r="G287" s="265">
        <f>G286*G231</f>
        <v>20802.84348529889</v>
      </c>
      <c r="H287" s="118"/>
    </row>
    <row r="288" spans="2:13" ht="15.6" x14ac:dyDescent="0.3">
      <c r="B288" s="53" t="s">
        <v>166</v>
      </c>
      <c r="C288" s="118"/>
      <c r="D288" s="265">
        <f>D280+D287</f>
        <v>30667.143151271444</v>
      </c>
      <c r="E288" s="265">
        <f t="shared" ref="E288:G288" si="69">E280+E287</f>
        <v>29409.836651271442</v>
      </c>
      <c r="F288" s="265">
        <f t="shared" si="69"/>
        <v>30310.814626271444</v>
      </c>
      <c r="G288" s="265">
        <f t="shared" si="69"/>
        <v>31212.62618177144</v>
      </c>
      <c r="H288" s="118"/>
      <c r="J288" t="s">
        <v>280</v>
      </c>
      <c r="K288" t="s">
        <v>279</v>
      </c>
      <c r="L288" t="s">
        <v>281</v>
      </c>
      <c r="M288" t="s">
        <v>278</v>
      </c>
    </row>
    <row r="289" spans="1:15" ht="15.6" x14ac:dyDescent="0.3">
      <c r="B289" s="334" t="s">
        <v>315</v>
      </c>
      <c r="C289" s="118"/>
      <c r="D289" s="335">
        <f>D101+D145+D184+D247</f>
        <v>30357.143151271448</v>
      </c>
      <c r="E289" s="335">
        <f t="shared" ref="E289:G289" si="70">E101+E145+E184+E247</f>
        <v>29410.486651271447</v>
      </c>
      <c r="F289" s="335">
        <f t="shared" si="70"/>
        <v>30297.914626271442</v>
      </c>
      <c r="G289" s="335">
        <f t="shared" si="70"/>
        <v>31197.50118177144</v>
      </c>
      <c r="H289" s="118"/>
      <c r="J289">
        <v>30</v>
      </c>
      <c r="K289">
        <v>150</v>
      </c>
      <c r="L289">
        <v>50</v>
      </c>
      <c r="M289">
        <v>130</v>
      </c>
    </row>
    <row r="291" spans="1:15" ht="17.399999999999999" x14ac:dyDescent="0.3">
      <c r="A291" s="282"/>
      <c r="B291" s="51" t="s">
        <v>160</v>
      </c>
    </row>
    <row r="292" spans="1:15" ht="18.600000000000001" thickBot="1" x14ac:dyDescent="0.4">
      <c r="B292" s="14" t="s">
        <v>159</v>
      </c>
      <c r="C292" s="14"/>
      <c r="D292" s="15"/>
      <c r="E292" s="16"/>
      <c r="F292" s="17"/>
      <c r="G292" s="14"/>
    </row>
    <row r="293" spans="1:15" ht="15.6" x14ac:dyDescent="0.3">
      <c r="B293" s="18" t="s">
        <v>13</v>
      </c>
      <c r="C293" s="18" t="s">
        <v>14</v>
      </c>
      <c r="D293" s="19"/>
      <c r="E293" s="19" t="s">
        <v>15</v>
      </c>
      <c r="F293" s="20"/>
      <c r="G293" s="20"/>
      <c r="H293" s="18" t="s">
        <v>16</v>
      </c>
    </row>
    <row r="294" spans="1:15" ht="16.2" thickBot="1" x14ac:dyDescent="0.35">
      <c r="B294" s="23"/>
      <c r="C294" s="23" t="s">
        <v>17</v>
      </c>
      <c r="D294" s="24" t="s">
        <v>18</v>
      </c>
      <c r="E294" s="25" t="s">
        <v>19</v>
      </c>
      <c r="F294" s="25" t="s">
        <v>20</v>
      </c>
      <c r="G294" s="26" t="s">
        <v>21</v>
      </c>
      <c r="H294" s="23" t="s">
        <v>22</v>
      </c>
    </row>
    <row r="295" spans="1:15" ht="15.6" x14ac:dyDescent="0.3">
      <c r="B295" s="358" t="s">
        <v>23</v>
      </c>
      <c r="C295" s="236"/>
      <c r="D295" s="236"/>
      <c r="E295" s="236"/>
      <c r="F295" s="236"/>
      <c r="G295" s="236"/>
      <c r="H295" s="364"/>
      <c r="J295" s="440" t="s">
        <v>277</v>
      </c>
      <c r="K295" s="440"/>
      <c r="L295" s="440"/>
      <c r="M295" s="440"/>
      <c r="N295" s="440"/>
      <c r="O295" s="440"/>
    </row>
    <row r="296" spans="1:15" ht="15.6" x14ac:dyDescent="0.3">
      <c r="B296" s="359" t="s">
        <v>167</v>
      </c>
      <c r="C296" s="233" t="s">
        <v>28</v>
      </c>
      <c r="D296" s="365">
        <f>D280</f>
        <v>10801.680713991176</v>
      </c>
      <c r="E296" s="365">
        <f t="shared" ref="E296:G296" si="71">E280</f>
        <v>9903.8287109324901</v>
      </c>
      <c r="F296" s="365">
        <f t="shared" si="71"/>
        <v>10167.007887864895</v>
      </c>
      <c r="G296" s="365">
        <f t="shared" si="71"/>
        <v>10409.78269647255</v>
      </c>
      <c r="H296" s="366"/>
      <c r="J296" s="440"/>
      <c r="K296" s="440"/>
      <c r="L296" s="440"/>
      <c r="M296" s="440"/>
      <c r="N296" s="440"/>
      <c r="O296" s="440"/>
    </row>
    <row r="297" spans="1:15" ht="15.6" x14ac:dyDescent="0.3">
      <c r="B297" s="359" t="s">
        <v>282</v>
      </c>
      <c r="C297" s="233" t="s">
        <v>28</v>
      </c>
      <c r="D297" s="365">
        <v>0</v>
      </c>
      <c r="E297" s="365">
        <f>D298</f>
        <v>981.97097399919789</v>
      </c>
      <c r="F297" s="365">
        <f t="shared" ref="F297:G297" si="72">E298</f>
        <v>989.40326390126756</v>
      </c>
      <c r="G297" s="365">
        <f t="shared" si="72"/>
        <v>1013.7764336893089</v>
      </c>
      <c r="H297" s="366"/>
      <c r="J297" s="440"/>
      <c r="K297" s="440"/>
      <c r="L297" s="440"/>
      <c r="M297" s="440"/>
      <c r="N297" s="440"/>
      <c r="O297" s="440"/>
    </row>
    <row r="298" spans="1:15" ht="15.6" x14ac:dyDescent="0.3">
      <c r="B298" s="359" t="s">
        <v>164</v>
      </c>
      <c r="C298" s="233" t="s">
        <v>28</v>
      </c>
      <c r="D298" s="365">
        <f>D279*D62</f>
        <v>981.97097399919789</v>
      </c>
      <c r="E298" s="365">
        <f>E279*E62</f>
        <v>989.40326390126756</v>
      </c>
      <c r="F298" s="365">
        <f>F279*F62</f>
        <v>1013.7764336893089</v>
      </c>
      <c r="G298" s="365">
        <f>G279*G62</f>
        <v>1037.1012556076005</v>
      </c>
      <c r="H298" s="366"/>
      <c r="J298" s="440"/>
      <c r="K298" s="440"/>
      <c r="L298" s="440"/>
      <c r="M298" s="440"/>
      <c r="N298" s="440"/>
      <c r="O298" s="440"/>
    </row>
    <row r="299" spans="1:15" ht="16.2" thickBot="1" x14ac:dyDescent="0.35">
      <c r="B299" s="360" t="s">
        <v>168</v>
      </c>
      <c r="C299" s="233" t="s">
        <v>28</v>
      </c>
      <c r="D299" s="367">
        <f>D296+D297-D298</f>
        <v>9819.7097399919785</v>
      </c>
      <c r="E299" s="367">
        <f t="shared" ref="E299:G299" si="73">E296+E297-E298</f>
        <v>9896.3964210304202</v>
      </c>
      <c r="F299" s="367">
        <f t="shared" si="73"/>
        <v>10142.634718076853</v>
      </c>
      <c r="G299" s="367">
        <f t="shared" si="73"/>
        <v>10386.457874554259</v>
      </c>
      <c r="H299" s="368"/>
      <c r="J299" s="440"/>
      <c r="K299" s="440"/>
      <c r="L299" s="440"/>
      <c r="M299" s="440"/>
      <c r="N299" s="440"/>
      <c r="O299" s="440"/>
    </row>
    <row r="300" spans="1:15" ht="15.6" x14ac:dyDescent="0.3">
      <c r="B300" s="358" t="s">
        <v>27</v>
      </c>
      <c r="C300" s="236"/>
      <c r="D300" s="236"/>
      <c r="E300" s="236"/>
      <c r="F300" s="236"/>
      <c r="G300" s="236"/>
      <c r="H300" s="364"/>
    </row>
    <row r="301" spans="1:15" ht="15.6" x14ac:dyDescent="0.3">
      <c r="B301" s="359" t="s">
        <v>167</v>
      </c>
      <c r="C301" s="233" t="s">
        <v>28</v>
      </c>
      <c r="D301" s="365">
        <f>D287</f>
        <v>19865.462437280268</v>
      </c>
      <c r="E301" s="365">
        <f t="shared" ref="E301:G301" si="74">E287</f>
        <v>19506.007940338954</v>
      </c>
      <c r="F301" s="365">
        <f t="shared" si="74"/>
        <v>20143.806738406547</v>
      </c>
      <c r="G301" s="365">
        <f t="shared" si="74"/>
        <v>20802.84348529889</v>
      </c>
      <c r="H301" s="366"/>
    </row>
    <row r="302" spans="1:15" ht="15.6" x14ac:dyDescent="0.3">
      <c r="B302" s="359" t="s">
        <v>163</v>
      </c>
      <c r="C302" s="233" t="s">
        <v>28</v>
      </c>
      <c r="D302" s="233">
        <v>0</v>
      </c>
      <c r="E302" s="369">
        <f>D303</f>
        <v>1471.5157360948347</v>
      </c>
      <c r="F302" s="369">
        <f t="shared" ref="F302:G302" si="75">E303</f>
        <v>1552.2518303433683</v>
      </c>
      <c r="G302" s="369">
        <f t="shared" si="75"/>
        <v>1605.9348229236557</v>
      </c>
      <c r="H302" s="366"/>
    </row>
    <row r="303" spans="1:15" ht="15.6" x14ac:dyDescent="0.3">
      <c r="B303" s="359" t="s">
        <v>164</v>
      </c>
      <c r="C303" s="233" t="s">
        <v>28</v>
      </c>
      <c r="D303" s="369">
        <f>D286*D67</f>
        <v>1471.5157360948347</v>
      </c>
      <c r="E303" s="369">
        <f>E286*E67</f>
        <v>1552.2518303433683</v>
      </c>
      <c r="F303" s="369">
        <f>F286*F67</f>
        <v>1605.9348229236557</v>
      </c>
      <c r="G303" s="369">
        <f>G286*G67</f>
        <v>1651.3121879682933</v>
      </c>
      <c r="H303" s="366"/>
    </row>
    <row r="304" spans="1:15" ht="15.6" x14ac:dyDescent="0.3">
      <c r="B304" s="361" t="s">
        <v>169</v>
      </c>
      <c r="C304" s="370" t="s">
        <v>28</v>
      </c>
      <c r="D304" s="371">
        <f>D301+D302-D303</f>
        <v>18393.946701185432</v>
      </c>
      <c r="E304" s="371">
        <f t="shared" ref="E304:G304" si="76">E301+E302-E303</f>
        <v>19425.271846090422</v>
      </c>
      <c r="F304" s="371">
        <f t="shared" si="76"/>
        <v>20090.123745826259</v>
      </c>
      <c r="G304" s="371">
        <f t="shared" si="76"/>
        <v>20757.466120254252</v>
      </c>
      <c r="H304" s="372"/>
    </row>
    <row r="305" spans="1:9" ht="15.6" x14ac:dyDescent="0.3">
      <c r="B305" s="362" t="s">
        <v>291</v>
      </c>
      <c r="C305" s="357" t="s">
        <v>28</v>
      </c>
      <c r="D305" s="373">
        <f>D299+D304</f>
        <v>28213.656441177409</v>
      </c>
      <c r="E305" s="373">
        <f>E299+E304</f>
        <v>29321.66826712084</v>
      </c>
      <c r="F305" s="373">
        <f>F299+F304</f>
        <v>30232.758463903112</v>
      </c>
      <c r="G305" s="373">
        <f>G299+G304</f>
        <v>31143.923994808509</v>
      </c>
      <c r="H305" s="365"/>
      <c r="I305" t="s">
        <v>255</v>
      </c>
    </row>
    <row r="306" spans="1:9" ht="15.6" x14ac:dyDescent="0.3">
      <c r="B306" s="362" t="s">
        <v>292</v>
      </c>
      <c r="C306" s="357"/>
      <c r="D306" s="373">
        <f>D298+D303</f>
        <v>2453.4867100940328</v>
      </c>
      <c r="E306" s="373">
        <f t="shared" ref="E306:G306" si="77">E298+E303</f>
        <v>2541.6550942446356</v>
      </c>
      <c r="F306" s="373">
        <f t="shared" si="77"/>
        <v>2619.7112566129645</v>
      </c>
      <c r="G306" s="373">
        <f t="shared" si="77"/>
        <v>2688.4134435758938</v>
      </c>
      <c r="H306" s="365"/>
      <c r="I306" t="s">
        <v>264</v>
      </c>
    </row>
    <row r="307" spans="1:9" ht="15.6" x14ac:dyDescent="0.3">
      <c r="B307" s="363"/>
      <c r="C307" s="374"/>
      <c r="D307" s="375"/>
      <c r="E307" s="375"/>
      <c r="F307" s="375"/>
      <c r="G307" s="375"/>
      <c r="H307" s="375"/>
    </row>
    <row r="308" spans="1:9" ht="28.5" customHeight="1" x14ac:dyDescent="0.3">
      <c r="B308" s="380" t="s">
        <v>318</v>
      </c>
      <c r="C308" s="376"/>
      <c r="D308" s="377"/>
      <c r="E308" s="377"/>
      <c r="F308" s="377"/>
      <c r="G308" s="377"/>
      <c r="H308" s="377"/>
    </row>
    <row r="309" spans="1:9" ht="15.6" x14ac:dyDescent="0.3">
      <c r="B309" s="268" t="s">
        <v>23</v>
      </c>
      <c r="C309" s="378"/>
      <c r="D309" s="379">
        <f>D279*D23</f>
        <v>9819.7097399919785</v>
      </c>
      <c r="E309" s="379">
        <f>E279*E23</f>
        <v>9894.0326390126756</v>
      </c>
      <c r="F309" s="379">
        <f>F279*F23</f>
        <v>10137.764336893088</v>
      </c>
      <c r="G309" s="379">
        <f>G279*G23</f>
        <v>10380.705091175141</v>
      </c>
      <c r="H309" s="378"/>
    </row>
    <row r="310" spans="1:9" ht="15.6" x14ac:dyDescent="0.3">
      <c r="B310" s="268" t="s">
        <v>276</v>
      </c>
      <c r="C310" s="378"/>
      <c r="D310" s="379">
        <f>D286*D27</f>
        <v>18393.946701185436</v>
      </c>
      <c r="E310" s="379">
        <f>E286*E27</f>
        <v>19449.902452495218</v>
      </c>
      <c r="F310" s="379">
        <f>F286*F27</f>
        <v>20078.826716669751</v>
      </c>
      <c r="G310" s="379">
        <f>G286*G27</f>
        <v>20747.492238774816</v>
      </c>
      <c r="H310" s="378"/>
    </row>
    <row r="311" spans="1:9" ht="15.6" x14ac:dyDescent="0.3">
      <c r="B311" s="268" t="s">
        <v>283</v>
      </c>
      <c r="C311" s="378"/>
      <c r="D311" s="379">
        <f>D309+D310</f>
        <v>28213.656441177416</v>
      </c>
      <c r="E311" s="379">
        <f t="shared" ref="E311:G311" si="78">E309+E310</f>
        <v>29343.935091507894</v>
      </c>
      <c r="F311" s="379">
        <f t="shared" si="78"/>
        <v>30216.591053562839</v>
      </c>
      <c r="G311" s="379">
        <f t="shared" si="78"/>
        <v>31128.197329949959</v>
      </c>
      <c r="H311" s="378"/>
    </row>
    <row r="312" spans="1:9" ht="15.6" x14ac:dyDescent="0.3">
      <c r="B312" s="266"/>
      <c r="D312" s="259"/>
      <c r="E312" s="259"/>
      <c r="F312" s="259"/>
      <c r="G312" s="259"/>
    </row>
    <row r="313" spans="1:9" ht="17.399999999999999" x14ac:dyDescent="0.3">
      <c r="A313" s="283"/>
      <c r="B313" s="51" t="s">
        <v>197</v>
      </c>
      <c r="C313" s="2"/>
      <c r="D313" s="267"/>
      <c r="E313" s="267"/>
      <c r="F313" s="267"/>
      <c r="G313" s="267"/>
      <c r="H313" s="2"/>
    </row>
    <row r="314" spans="1:9" ht="18" x14ac:dyDescent="0.35">
      <c r="A314" s="7" t="s">
        <v>193</v>
      </c>
      <c r="B314" s="7"/>
      <c r="C314" s="8"/>
      <c r="D314" s="8"/>
      <c r="E314" s="9"/>
      <c r="F314" s="9"/>
      <c r="G314" s="9"/>
      <c r="H314" s="9"/>
    </row>
    <row r="315" spans="1:9" ht="18" x14ac:dyDescent="0.35">
      <c r="A315" s="7" t="s">
        <v>194</v>
      </c>
      <c r="B315" s="7"/>
      <c r="C315" s="8"/>
      <c r="D315" s="8"/>
      <c r="E315" s="9"/>
      <c r="F315" s="9"/>
      <c r="G315" s="9"/>
      <c r="H315" s="9"/>
    </row>
    <row r="316" spans="1:9" ht="18" x14ac:dyDescent="0.35">
      <c r="A316" s="7" t="s">
        <v>195</v>
      </c>
      <c r="B316" s="7"/>
      <c r="C316" s="8"/>
      <c r="D316" s="8"/>
      <c r="E316" s="9"/>
      <c r="F316" s="9"/>
      <c r="G316" s="9"/>
      <c r="H316" s="9"/>
    </row>
    <row r="317" spans="1:9" ht="18" x14ac:dyDescent="0.35">
      <c r="A317" s="7" t="s">
        <v>196</v>
      </c>
      <c r="B317" s="7"/>
      <c r="C317" s="8"/>
      <c r="D317" s="8"/>
      <c r="E317" s="9"/>
      <c r="F317" s="9"/>
      <c r="G317" s="9"/>
      <c r="H317" s="9"/>
    </row>
    <row r="318" spans="1:9" ht="18" x14ac:dyDescent="0.35">
      <c r="A318" s="7"/>
      <c r="B318" s="7"/>
      <c r="C318" s="8"/>
      <c r="D318" s="8"/>
      <c r="E318" s="9"/>
      <c r="F318" s="9"/>
      <c r="G318" s="9"/>
      <c r="H318" s="9"/>
    </row>
    <row r="319" spans="1:9" ht="17.399999999999999" x14ac:dyDescent="0.3">
      <c r="A319" s="181">
        <v>1900</v>
      </c>
      <c r="B319" s="50" t="s">
        <v>284</v>
      </c>
      <c r="C319" s="184"/>
      <c r="D319" s="185"/>
      <c r="E319" s="185"/>
      <c r="F319" s="185"/>
      <c r="G319" s="9"/>
      <c r="H319" s="9"/>
    </row>
    <row r="320" spans="1:9" ht="17.399999999999999" x14ac:dyDescent="0.3">
      <c r="A320" s="183">
        <v>1100</v>
      </c>
      <c r="B320" s="50" t="s">
        <v>293</v>
      </c>
      <c r="C320" s="185"/>
      <c r="D320" s="185"/>
      <c r="E320" s="185"/>
      <c r="F320" s="185"/>
      <c r="G320" s="9"/>
      <c r="H320" s="9"/>
    </row>
    <row r="321" spans="1:8" ht="17.399999999999999" x14ac:dyDescent="0.3">
      <c r="A321" s="183">
        <v>12500</v>
      </c>
      <c r="B321" s="444" t="s">
        <v>170</v>
      </c>
      <c r="C321" s="444"/>
      <c r="D321" s="444"/>
      <c r="E321" s="444"/>
      <c r="F321" s="444"/>
      <c r="G321" s="9"/>
      <c r="H321" s="9"/>
    </row>
    <row r="322" spans="1:8" ht="17.399999999999999" x14ac:dyDescent="0.3">
      <c r="A322" s="183">
        <v>15</v>
      </c>
      <c r="B322" s="444" t="s">
        <v>171</v>
      </c>
      <c r="C322" s="444"/>
      <c r="D322" s="444"/>
      <c r="E322" s="444"/>
      <c r="F322" s="444"/>
      <c r="G322" s="9"/>
      <c r="H322" s="9"/>
    </row>
    <row r="323" spans="1:8" ht="17.399999999999999" x14ac:dyDescent="0.3">
      <c r="A323" s="186">
        <v>8100</v>
      </c>
      <c r="B323" s="444" t="s">
        <v>172</v>
      </c>
      <c r="C323" s="444"/>
      <c r="D323" s="444"/>
      <c r="E323" s="444"/>
      <c r="F323" s="444"/>
      <c r="G323" s="9"/>
      <c r="H323" s="9"/>
    </row>
    <row r="324" spans="1:8" ht="17.399999999999999" x14ac:dyDescent="0.3">
      <c r="A324" s="186">
        <v>2300</v>
      </c>
      <c r="B324" s="444" t="s">
        <v>127</v>
      </c>
      <c r="C324" s="444"/>
      <c r="D324" s="444"/>
      <c r="E324" s="444"/>
      <c r="F324" s="444"/>
      <c r="G324" s="9"/>
      <c r="H324" s="9"/>
    </row>
    <row r="325" spans="1:8" ht="17.399999999999999" x14ac:dyDescent="0.3">
      <c r="A325" s="187">
        <v>0.03</v>
      </c>
      <c r="B325" s="141" t="s">
        <v>173</v>
      </c>
      <c r="C325" s="141"/>
      <c r="D325" s="141"/>
      <c r="E325" s="141"/>
      <c r="F325" s="141"/>
      <c r="G325" s="9"/>
      <c r="H325" s="9"/>
    </row>
    <row r="326" spans="1:8" ht="17.399999999999999" x14ac:dyDescent="0.3">
      <c r="A326" s="188">
        <f>((A321-A324)/15)/A321</f>
        <v>5.4399999999999997E-2</v>
      </c>
      <c r="B326" s="444" t="s">
        <v>174</v>
      </c>
      <c r="C326" s="444"/>
      <c r="D326" s="444"/>
      <c r="E326" s="444"/>
      <c r="F326" s="444"/>
      <c r="G326" s="169" t="e">
        <f ca="1">_xlfn.FORMULATEXT(A326)</f>
        <v>#NAME?</v>
      </c>
      <c r="H326" s="9"/>
    </row>
    <row r="327" spans="1:8" ht="17.399999999999999" x14ac:dyDescent="0.3">
      <c r="A327" s="188">
        <v>0.8</v>
      </c>
      <c r="B327" s="141" t="s">
        <v>296</v>
      </c>
      <c r="C327" s="141"/>
      <c r="D327" s="141"/>
      <c r="E327" s="141"/>
      <c r="F327" s="141"/>
      <c r="G327" s="169"/>
      <c r="H327" s="9"/>
    </row>
    <row r="328" spans="1:8" ht="17.399999999999999" x14ac:dyDescent="0.3">
      <c r="A328" s="188">
        <v>0.2</v>
      </c>
      <c r="B328" s="141" t="s">
        <v>295</v>
      </c>
      <c r="C328" s="141"/>
      <c r="D328" s="141"/>
      <c r="E328" s="141"/>
      <c r="F328" s="141"/>
      <c r="G328" s="169"/>
      <c r="H328" s="9"/>
    </row>
    <row r="329" spans="1:8" ht="17.399999999999999" x14ac:dyDescent="0.3">
      <c r="A329" s="188">
        <v>0.6</v>
      </c>
      <c r="B329" s="141" t="s">
        <v>297</v>
      </c>
      <c r="C329" s="141"/>
      <c r="D329" s="141"/>
      <c r="E329" s="141"/>
      <c r="F329" s="141"/>
      <c r="G329" s="169"/>
      <c r="H329" s="9"/>
    </row>
    <row r="330" spans="1:8" ht="17.399999999999999" x14ac:dyDescent="0.3">
      <c r="A330" s="188">
        <v>0.4</v>
      </c>
      <c r="B330" s="141" t="s">
        <v>298</v>
      </c>
      <c r="C330" s="141"/>
      <c r="D330" s="141"/>
      <c r="E330" s="141"/>
      <c r="F330" s="141"/>
      <c r="G330" s="169"/>
      <c r="H330" s="9"/>
    </row>
    <row r="331" spans="1:8" ht="15.6" x14ac:dyDescent="0.3">
      <c r="C331" s="141"/>
      <c r="D331" s="141"/>
      <c r="E331" s="141"/>
      <c r="F331" s="141"/>
      <c r="G331" s="2"/>
      <c r="H331" s="2"/>
    </row>
    <row r="332" spans="1:8" ht="18.600000000000001" thickBot="1" x14ac:dyDescent="0.4">
      <c r="A332" s="2"/>
      <c r="B332" s="14"/>
      <c r="C332" s="14" t="s">
        <v>175</v>
      </c>
      <c r="D332" s="15"/>
      <c r="E332" s="16"/>
      <c r="F332" s="17"/>
      <c r="G332" s="14"/>
      <c r="H332" s="17"/>
    </row>
    <row r="333" spans="1:8" ht="15.6" x14ac:dyDescent="0.3">
      <c r="A333" s="2"/>
      <c r="B333" s="53" t="s">
        <v>131</v>
      </c>
      <c r="C333" s="18" t="s">
        <v>14</v>
      </c>
      <c r="D333" s="53"/>
      <c r="E333" s="53" t="s">
        <v>77</v>
      </c>
      <c r="F333" s="118"/>
      <c r="G333" s="118"/>
      <c r="H333" s="118" t="s">
        <v>16</v>
      </c>
    </row>
    <row r="334" spans="1:8" ht="15.6" x14ac:dyDescent="0.3">
      <c r="A334" s="2"/>
      <c r="B334" s="118"/>
      <c r="C334" s="23" t="s">
        <v>17</v>
      </c>
      <c r="D334" s="118" t="s">
        <v>18</v>
      </c>
      <c r="E334" s="118" t="s">
        <v>19</v>
      </c>
      <c r="F334" s="118" t="s">
        <v>20</v>
      </c>
      <c r="G334" s="118" t="s">
        <v>21</v>
      </c>
      <c r="H334" s="118" t="s">
        <v>22</v>
      </c>
    </row>
    <row r="335" spans="1:8" ht="15.6" x14ac:dyDescent="0.3">
      <c r="A335" s="2"/>
      <c r="B335" s="119" t="s">
        <v>176</v>
      </c>
      <c r="C335" s="119" t="s">
        <v>28</v>
      </c>
      <c r="D335" s="170">
        <f>$A$319</f>
        <v>1900</v>
      </c>
      <c r="E335" s="170">
        <f t="shared" ref="E335:G335" si="79">$A$319</f>
        <v>1900</v>
      </c>
      <c r="F335" s="170">
        <f t="shared" si="79"/>
        <v>1900</v>
      </c>
      <c r="G335" s="170">
        <f t="shared" si="79"/>
        <v>1900</v>
      </c>
      <c r="H335" s="108">
        <f>SUM(D335:G335)</f>
        <v>7600</v>
      </c>
    </row>
    <row r="336" spans="1:8" ht="15.6" x14ac:dyDescent="0.3">
      <c r="A336" s="2"/>
      <c r="B336" s="54" t="s">
        <v>134</v>
      </c>
      <c r="C336" s="119" t="s">
        <v>28</v>
      </c>
      <c r="D336" s="170">
        <f>D335*ЄСВ</f>
        <v>418</v>
      </c>
      <c r="E336" s="170">
        <f>E335*ЄСВ</f>
        <v>418</v>
      </c>
      <c r="F336" s="170">
        <f>F335*ЄСВ</f>
        <v>418</v>
      </c>
      <c r="G336" s="170">
        <f>G335*ЄСВ</f>
        <v>418</v>
      </c>
      <c r="H336" s="108"/>
    </row>
    <row r="337" spans="1:9" ht="15.6" x14ac:dyDescent="0.3">
      <c r="A337" s="2"/>
      <c r="B337" s="54" t="s">
        <v>177</v>
      </c>
      <c r="C337" s="119" t="s">
        <v>28</v>
      </c>
      <c r="D337" s="127">
        <f>$A$326/4*($A$321-$A$324)</f>
        <v>138.72</v>
      </c>
      <c r="E337" s="127">
        <f>$A$326/4*($A$321-$A$324)</f>
        <v>138.72</v>
      </c>
      <c r="F337" s="127">
        <f>$A$326/4*($A$321-$A$324)</f>
        <v>138.72</v>
      </c>
      <c r="G337" s="127">
        <f>$A$326/4*($A$321-$A$324)</f>
        <v>138.72</v>
      </c>
      <c r="H337" s="179" t="s">
        <v>34</v>
      </c>
    </row>
    <row r="338" spans="1:9" ht="31.2" x14ac:dyDescent="0.3">
      <c r="A338" s="2"/>
      <c r="B338" s="119" t="s">
        <v>178</v>
      </c>
      <c r="C338" s="119" t="s">
        <v>28</v>
      </c>
      <c r="D338" s="170">
        <f>$A$320</f>
        <v>1100</v>
      </c>
      <c r="E338" s="170">
        <f t="shared" ref="E338:G338" si="80">$A$320</f>
        <v>1100</v>
      </c>
      <c r="F338" s="170">
        <f t="shared" si="80"/>
        <v>1100</v>
      </c>
      <c r="G338" s="170">
        <f t="shared" si="80"/>
        <v>1100</v>
      </c>
      <c r="H338" s="108">
        <f>SUM(D338:G338)</f>
        <v>4400</v>
      </c>
    </row>
    <row r="339" spans="1:9" ht="15.6" x14ac:dyDescent="0.3">
      <c r="A339" s="2" t="s">
        <v>294</v>
      </c>
      <c r="B339" s="119" t="s">
        <v>179</v>
      </c>
      <c r="C339" s="119" t="s">
        <v>28</v>
      </c>
      <c r="D339" s="170">
        <f>D335+D336+D337+D338</f>
        <v>3556.72</v>
      </c>
      <c r="E339" s="170">
        <f>E335+E336+E337+E338</f>
        <v>3556.72</v>
      </c>
      <c r="F339" s="170">
        <f>F335+F336+F337+F338</f>
        <v>3556.72</v>
      </c>
      <c r="G339" s="170">
        <f>G335+G336+G337+G338</f>
        <v>3556.72</v>
      </c>
      <c r="H339" s="108">
        <f>SUM(D339:G339)</f>
        <v>14226.88</v>
      </c>
    </row>
    <row r="340" spans="1:9" ht="15.6" x14ac:dyDescent="0.3">
      <c r="A340" s="2" t="s">
        <v>112</v>
      </c>
      <c r="B340" s="54" t="s">
        <v>180</v>
      </c>
      <c r="C340" s="119" t="s">
        <v>28</v>
      </c>
      <c r="D340" s="170">
        <f>$A$325*D30</f>
        <v>2550</v>
      </c>
      <c r="E340" s="170">
        <f>$A$325*E30</f>
        <v>2674.5149999999999</v>
      </c>
      <c r="F340" s="170">
        <f>$A$325*F30</f>
        <v>2821.0246800000004</v>
      </c>
      <c r="G340" s="170">
        <f>$A$325*G30</f>
        <v>2975.5803910500003</v>
      </c>
      <c r="H340" s="108">
        <f>SUM(D340:G340)</f>
        <v>11021.12007105</v>
      </c>
    </row>
    <row r="341" spans="1:9" ht="15.6" x14ac:dyDescent="0.3">
      <c r="A341" s="2"/>
      <c r="B341" s="54" t="s">
        <v>181</v>
      </c>
      <c r="C341" s="119" t="s">
        <v>28</v>
      </c>
      <c r="D341" s="180">
        <f>SUM(D339:D340)</f>
        <v>6106.7199999999993</v>
      </c>
      <c r="E341" s="180">
        <f t="shared" ref="E341:G341" si="81">SUM(E339:E340)</f>
        <v>6231.2349999999997</v>
      </c>
      <c r="F341" s="180">
        <f t="shared" si="81"/>
        <v>6377.7446799999998</v>
      </c>
      <c r="G341" s="180">
        <f t="shared" si="81"/>
        <v>6532.3003910500001</v>
      </c>
      <c r="H341" s="108">
        <f>SUM(D341:G341)</f>
        <v>25248.000071049999</v>
      </c>
      <c r="I341" t="s">
        <v>255</v>
      </c>
    </row>
    <row r="342" spans="1:9" ht="18" thickBot="1" x14ac:dyDescent="0.35">
      <c r="A342" s="2"/>
      <c r="B342" s="178"/>
      <c r="C342" s="122" t="s">
        <v>182</v>
      </c>
      <c r="D342" s="123"/>
      <c r="E342" s="123"/>
      <c r="F342" s="123"/>
      <c r="G342" s="123"/>
      <c r="H342" s="124"/>
    </row>
    <row r="343" spans="1:9" ht="15.6" x14ac:dyDescent="0.3">
      <c r="A343" s="2"/>
      <c r="B343" s="23" t="s">
        <v>13</v>
      </c>
      <c r="C343" s="52"/>
      <c r="D343" s="19" t="s">
        <v>77</v>
      </c>
      <c r="E343" s="125"/>
      <c r="F343" s="126"/>
      <c r="G343" s="20" t="s">
        <v>32</v>
      </c>
      <c r="H343" s="23" t="s">
        <v>16</v>
      </c>
    </row>
    <row r="344" spans="1:9" ht="16.2" thickBot="1" x14ac:dyDescent="0.35">
      <c r="A344" s="2"/>
      <c r="B344" s="21"/>
      <c r="C344" s="35" t="s">
        <v>18</v>
      </c>
      <c r="D344" s="22" t="s">
        <v>19</v>
      </c>
      <c r="E344" s="22" t="s">
        <v>20</v>
      </c>
      <c r="F344" s="22" t="s">
        <v>21</v>
      </c>
      <c r="G344" s="36" t="s">
        <v>18</v>
      </c>
      <c r="H344" s="23" t="s">
        <v>22</v>
      </c>
    </row>
    <row r="345" spans="1:9" ht="15.6" x14ac:dyDescent="0.3">
      <c r="A345" s="2"/>
      <c r="B345" s="37" t="s">
        <v>139</v>
      </c>
      <c r="C345" s="275">
        <f>SUM(C346:C348)</f>
        <v>6698</v>
      </c>
      <c r="D345" s="275">
        <f>SUM(D346:D348)</f>
        <v>6847.4179999999997</v>
      </c>
      <c r="E345" s="275">
        <f>SUM(E346:E348)</f>
        <v>7023.2296160000005</v>
      </c>
      <c r="F345" s="275">
        <f>SUM(F346:F348)</f>
        <v>7208.6964692600004</v>
      </c>
      <c r="G345" s="276" t="s">
        <v>34</v>
      </c>
      <c r="H345" s="171">
        <f>SUM(C345:G345)</f>
        <v>27777.344085260003</v>
      </c>
    </row>
    <row r="346" spans="1:9" ht="15.6" x14ac:dyDescent="0.3">
      <c r="A346" s="2"/>
      <c r="B346" s="172" t="s">
        <v>183</v>
      </c>
      <c r="C346" s="45">
        <f t="shared" ref="C346:F347" si="82">D335</f>
        <v>1900</v>
      </c>
      <c r="D346" s="45">
        <f t="shared" si="82"/>
        <v>1900</v>
      </c>
      <c r="E346" s="45">
        <f t="shared" si="82"/>
        <v>1900</v>
      </c>
      <c r="F346" s="45">
        <f t="shared" si="82"/>
        <v>1900</v>
      </c>
      <c r="G346" s="276" t="s">
        <v>34</v>
      </c>
      <c r="H346" s="171">
        <f>SUM(C346:G346)</f>
        <v>7600</v>
      </c>
    </row>
    <row r="347" spans="1:9" ht="15.6" x14ac:dyDescent="0.3">
      <c r="A347" s="2"/>
      <c r="B347" s="172" t="s">
        <v>134</v>
      </c>
      <c r="C347" s="45">
        <f t="shared" si="82"/>
        <v>418</v>
      </c>
      <c r="D347" s="45">
        <f t="shared" si="82"/>
        <v>418</v>
      </c>
      <c r="E347" s="45">
        <f t="shared" si="82"/>
        <v>418</v>
      </c>
      <c r="F347" s="45">
        <f t="shared" si="82"/>
        <v>418</v>
      </c>
      <c r="G347" s="276" t="s">
        <v>34</v>
      </c>
      <c r="H347" s="171">
        <f>SUM(C347:G347)</f>
        <v>1672</v>
      </c>
    </row>
    <row r="348" spans="1:9" ht="31.2" x14ac:dyDescent="0.3">
      <c r="A348" s="2"/>
      <c r="B348" s="173" t="s">
        <v>184</v>
      </c>
      <c r="C348" s="45">
        <f>(D338+D340)*(1+ПДВ)</f>
        <v>4380</v>
      </c>
      <c r="D348" s="45">
        <f>(E338+E340)*(1+ПДВ)</f>
        <v>4529.4179999999997</v>
      </c>
      <c r="E348" s="45">
        <f>(F338+F340)*(1+ПДВ)</f>
        <v>4705.2296160000005</v>
      </c>
      <c r="F348" s="45">
        <f>(G338+G340)*(1+ПДВ)</f>
        <v>4890.6964692600004</v>
      </c>
      <c r="G348" s="276" t="s">
        <v>34</v>
      </c>
      <c r="H348" s="171">
        <f>SUM(C348:G348)</f>
        <v>18505.34408526</v>
      </c>
    </row>
    <row r="349" spans="1:9" ht="15.6" x14ac:dyDescent="0.3">
      <c r="A349" s="2"/>
      <c r="B349" s="127" t="s">
        <v>185</v>
      </c>
      <c r="C349" s="45">
        <v>0</v>
      </c>
      <c r="D349" s="45">
        <f>C350</f>
        <v>2054</v>
      </c>
      <c r="E349" s="45">
        <f>D350</f>
        <v>2083.8835999999992</v>
      </c>
      <c r="F349" s="45">
        <f>E350</f>
        <v>2119.0459231999985</v>
      </c>
      <c r="G349" s="45">
        <f>F350</f>
        <v>2156.1392938519975</v>
      </c>
      <c r="H349" s="156" t="s">
        <v>34</v>
      </c>
    </row>
    <row r="350" spans="1:9" ht="15.6" x14ac:dyDescent="0.3">
      <c r="A350" s="2"/>
      <c r="B350" s="127" t="s">
        <v>186</v>
      </c>
      <c r="C350" s="45">
        <f>C345+C349-C358</f>
        <v>2054</v>
      </c>
      <c r="D350" s="45">
        <f>D345+D349-D358</f>
        <v>2083.8835999999992</v>
      </c>
      <c r="E350" s="45">
        <f>E345+E349-E358</f>
        <v>2119.0459231999985</v>
      </c>
      <c r="F350" s="45">
        <f>F345+F349-F358</f>
        <v>2156.1392938519975</v>
      </c>
      <c r="G350" s="276" t="s">
        <v>34</v>
      </c>
      <c r="H350" s="156" t="s">
        <v>34</v>
      </c>
    </row>
    <row r="351" spans="1:9" ht="16.2" thickBot="1" x14ac:dyDescent="0.35">
      <c r="A351" s="2"/>
      <c r="B351" s="117" t="s">
        <v>187</v>
      </c>
      <c r="C351" s="174"/>
      <c r="D351" s="277">
        <v>0.8</v>
      </c>
      <c r="E351" s="277">
        <v>0.2</v>
      </c>
      <c r="F351" s="174"/>
      <c r="G351" s="174"/>
      <c r="H351" s="175"/>
    </row>
    <row r="352" spans="1:9" ht="15.6" x14ac:dyDescent="0.3">
      <c r="A352" s="2"/>
      <c r="B352" s="44" t="s">
        <v>188</v>
      </c>
      <c r="C352" s="176"/>
      <c r="D352" s="177"/>
      <c r="E352" s="177"/>
      <c r="F352" s="177"/>
      <c r="G352" s="177"/>
      <c r="H352" s="274">
        <f>SUM(C352:G352)</f>
        <v>0</v>
      </c>
    </row>
    <row r="353" spans="1:9" ht="15.6" x14ac:dyDescent="0.3">
      <c r="A353" s="2"/>
      <c r="B353" s="44" t="s">
        <v>189</v>
      </c>
      <c r="C353" s="176">
        <f>C$348*$A$327+C$346*$A$329</f>
        <v>4644</v>
      </c>
      <c r="D353" s="177">
        <f>C$346*$A$330+C$347+C$348*$A$328</f>
        <v>2054</v>
      </c>
      <c r="E353" s="177"/>
      <c r="F353" s="177"/>
      <c r="G353" s="177"/>
      <c r="H353" s="274">
        <f>SUM(C353:G353)</f>
        <v>6698</v>
      </c>
    </row>
    <row r="354" spans="1:9" ht="15.6" x14ac:dyDescent="0.3">
      <c r="A354" s="2"/>
      <c r="B354" s="44" t="s">
        <v>190</v>
      </c>
      <c r="C354" s="176"/>
      <c r="D354" s="176">
        <f>D$348*$A$327+D$346*$A$329</f>
        <v>4763.5344000000005</v>
      </c>
      <c r="E354" s="177">
        <f>D$346*$A$330+D$347+D$348*$A$328</f>
        <v>2083.8836000000001</v>
      </c>
      <c r="F354" s="177"/>
      <c r="G354" s="177"/>
      <c r="H354" s="274">
        <f>SUM(C354:G354)</f>
        <v>6847.4180000000006</v>
      </c>
    </row>
    <row r="355" spans="1:9" ht="15.6" x14ac:dyDescent="0.3">
      <c r="A355" s="2"/>
      <c r="B355" s="44" t="s">
        <v>191</v>
      </c>
      <c r="C355" s="176"/>
      <c r="D355" s="177"/>
      <c r="E355" s="176">
        <f>E$348*$A$327+E$346*$A$329</f>
        <v>4904.1836928000012</v>
      </c>
      <c r="F355" s="177">
        <f>E$346*$A$330+E$347+E$348*$A$328</f>
        <v>2119.0459232000003</v>
      </c>
      <c r="G355" s="177"/>
      <c r="H355" s="274">
        <f>SUM(C355:G355)</f>
        <v>7023.2296160000014</v>
      </c>
    </row>
    <row r="356" spans="1:9" ht="16.2" thickBot="1" x14ac:dyDescent="0.35">
      <c r="A356" s="2"/>
      <c r="B356" s="44" t="s">
        <v>192</v>
      </c>
      <c r="C356" s="176"/>
      <c r="D356" s="177"/>
      <c r="E356" s="177"/>
      <c r="F356" s="176">
        <f>F$348*$A$327+F$346*$A$329</f>
        <v>5052.5571754080011</v>
      </c>
      <c r="G356" s="177">
        <f>F$346*$A$330+F$347+F$348*$A$328</f>
        <v>2156.1392938520003</v>
      </c>
      <c r="H356" s="274">
        <f>SUM(C356:G356)</f>
        <v>7208.6964692600013</v>
      </c>
    </row>
    <row r="357" spans="1:9" ht="15.6" x14ac:dyDescent="0.3">
      <c r="A357" s="2"/>
      <c r="B357" s="18" t="s">
        <v>44</v>
      </c>
      <c r="C357" s="269"/>
      <c r="D357" s="270"/>
      <c r="E357" s="270"/>
      <c r="F357" s="270"/>
      <c r="G357" s="270"/>
      <c r="H357" s="271">
        <f>SUM(H352:H356)</f>
        <v>27777.344085260003</v>
      </c>
    </row>
    <row r="358" spans="1:9" ht="16.2" thickBot="1" x14ac:dyDescent="0.35">
      <c r="A358" s="2"/>
      <c r="B358" s="21" t="s">
        <v>82</v>
      </c>
      <c r="C358" s="272">
        <f>SUM(C352:C356)</f>
        <v>4644</v>
      </c>
      <c r="D358" s="272">
        <f>SUM(D352:D356)</f>
        <v>6817.5344000000005</v>
      </c>
      <c r="E358" s="272">
        <f>SUM(E352:E356)</f>
        <v>6988.0672928000013</v>
      </c>
      <c r="F358" s="272">
        <f>SUM(F352:F356)</f>
        <v>7171.6030986080013</v>
      </c>
      <c r="G358" s="272">
        <f>SUM(G352:G356)</f>
        <v>2156.1392938520003</v>
      </c>
      <c r="H358" s="273">
        <f>SUM(C358:G358)</f>
        <v>27777.344085260003</v>
      </c>
    </row>
    <row r="359" spans="1:9" ht="15.6" x14ac:dyDescent="0.3">
      <c r="A359" s="2"/>
      <c r="B359" s="2"/>
      <c r="C359" s="2"/>
      <c r="D359" s="2"/>
      <c r="E359" s="2"/>
      <c r="F359" s="2"/>
      <c r="G359" s="2"/>
      <c r="H359" s="2"/>
    </row>
    <row r="360" spans="1:9" ht="17.399999999999999" x14ac:dyDescent="0.3">
      <c r="A360" s="283"/>
      <c r="B360" s="51" t="s">
        <v>198</v>
      </c>
      <c r="C360" s="125"/>
      <c r="D360" s="114"/>
      <c r="E360" s="114"/>
      <c r="F360" s="114"/>
      <c r="G360" s="114"/>
      <c r="H360" s="114"/>
    </row>
    <row r="361" spans="1:9" ht="18" thickBot="1" x14ac:dyDescent="0.35">
      <c r="A361" s="2"/>
      <c r="B361" s="6" t="s">
        <v>199</v>
      </c>
      <c r="C361" s="125"/>
      <c r="D361" s="114"/>
      <c r="E361" s="114"/>
      <c r="F361" s="114"/>
      <c r="G361" s="114"/>
      <c r="H361" s="114"/>
    </row>
    <row r="362" spans="1:9" ht="16.2" thickBot="1" x14ac:dyDescent="0.35">
      <c r="A362" s="2"/>
      <c r="B362" s="189" t="s">
        <v>13</v>
      </c>
      <c r="C362" s="190" t="s">
        <v>14</v>
      </c>
      <c r="D362" s="191"/>
      <c r="E362" s="441" t="s">
        <v>77</v>
      </c>
      <c r="F362" s="441"/>
      <c r="G362" s="192"/>
      <c r="H362" s="189" t="s">
        <v>16</v>
      </c>
    </row>
    <row r="363" spans="1:9" ht="16.2" thickBot="1" x14ac:dyDescent="0.35">
      <c r="A363" s="2"/>
      <c r="B363" s="193"/>
      <c r="C363" s="194" t="s">
        <v>17</v>
      </c>
      <c r="D363" s="195" t="s">
        <v>18</v>
      </c>
      <c r="E363" s="195" t="s">
        <v>19</v>
      </c>
      <c r="F363" s="195" t="s">
        <v>20</v>
      </c>
      <c r="G363" s="196" t="s">
        <v>21</v>
      </c>
      <c r="H363" s="193" t="s">
        <v>22</v>
      </c>
    </row>
    <row r="364" spans="1:9" ht="16.2" thickBot="1" x14ac:dyDescent="0.35">
      <c r="A364" s="2"/>
      <c r="B364" s="307" t="s">
        <v>200</v>
      </c>
      <c r="C364" s="305"/>
      <c r="D364" s="302">
        <f>D30</f>
        <v>85000</v>
      </c>
      <c r="E364" s="302">
        <f>E30</f>
        <v>89150.5</v>
      </c>
      <c r="F364" s="302">
        <f>F30</f>
        <v>94034.156000000017</v>
      </c>
      <c r="G364" s="302">
        <f>G30</f>
        <v>99186.013035000011</v>
      </c>
      <c r="H364" s="302">
        <f>SUM(D364:G364)</f>
        <v>367370.66903500003</v>
      </c>
      <c r="I364" t="s">
        <v>285</v>
      </c>
    </row>
    <row r="365" spans="1:9" ht="16.2" thickBot="1" x14ac:dyDescent="0.35">
      <c r="A365" s="2"/>
      <c r="B365" s="308" t="s">
        <v>201</v>
      </c>
      <c r="C365" s="305"/>
      <c r="D365" s="302">
        <f>D364*0.2</f>
        <v>17000</v>
      </c>
      <c r="E365" s="302">
        <f>E364*0.2</f>
        <v>17830.100000000002</v>
      </c>
      <c r="F365" s="302">
        <f>F364*0.2</f>
        <v>18806.831200000004</v>
      </c>
      <c r="G365" s="302">
        <f>G364*0.2</f>
        <v>19837.202607000003</v>
      </c>
      <c r="H365" s="302">
        <f t="shared" ref="H365:H371" si="83">SUM(D365:G365)</f>
        <v>73474.133807000006</v>
      </c>
    </row>
    <row r="366" spans="1:9" ht="31.8" thickBot="1" x14ac:dyDescent="0.35">
      <c r="A366" s="2"/>
      <c r="B366" s="307" t="s">
        <v>302</v>
      </c>
      <c r="C366" s="208" t="s">
        <v>303</v>
      </c>
      <c r="D366" s="302">
        <f>D101</f>
        <v>13810</v>
      </c>
      <c r="E366" s="302">
        <f>E101</f>
        <v>13431.650000000001</v>
      </c>
      <c r="F366" s="302">
        <f>F101</f>
        <v>13924.099999999999</v>
      </c>
      <c r="G366" s="302">
        <f>G101</f>
        <v>14428.375</v>
      </c>
      <c r="H366" s="302">
        <f t="shared" si="83"/>
        <v>55594.125</v>
      </c>
    </row>
    <row r="367" spans="1:9" ht="16.2" thickBot="1" x14ac:dyDescent="0.35">
      <c r="A367" s="2"/>
      <c r="B367" s="308" t="s">
        <v>202</v>
      </c>
      <c r="C367" s="208"/>
      <c r="D367" s="302">
        <f>D366*0.2</f>
        <v>2762</v>
      </c>
      <c r="E367" s="302">
        <f>E366*0.2</f>
        <v>2686.3300000000004</v>
      </c>
      <c r="F367" s="302">
        <f>F366*0.2</f>
        <v>2784.8199999999997</v>
      </c>
      <c r="G367" s="302">
        <f>G366*0.2</f>
        <v>2885.6750000000002</v>
      </c>
      <c r="H367" s="302">
        <f t="shared" si="83"/>
        <v>11118.825000000001</v>
      </c>
    </row>
    <row r="368" spans="1:9" ht="31.8" thickBot="1" x14ac:dyDescent="0.35">
      <c r="A368" s="2"/>
      <c r="B368" s="303" t="s">
        <v>308</v>
      </c>
      <c r="C368" s="208" t="s">
        <v>304</v>
      </c>
      <c r="D368" s="304">
        <f>D240</f>
        <v>2400</v>
      </c>
      <c r="E368" s="304">
        <f>E240</f>
        <v>2400</v>
      </c>
      <c r="F368" s="304">
        <f>F240</f>
        <v>2400</v>
      </c>
      <c r="G368" s="304">
        <f>G240</f>
        <v>2400</v>
      </c>
      <c r="H368" s="302">
        <f t="shared" si="83"/>
        <v>9600</v>
      </c>
    </row>
    <row r="369" spans="1:8" ht="16.2" thickBot="1" x14ac:dyDescent="0.35">
      <c r="A369" s="2"/>
      <c r="B369" s="308" t="s">
        <v>203</v>
      </c>
      <c r="C369" s="208"/>
      <c r="D369" s="302">
        <f>D368*0.2</f>
        <v>480</v>
      </c>
      <c r="E369" s="302">
        <f>(E368+E371)*0.2</f>
        <v>1014.9029999999999</v>
      </c>
      <c r="F369" s="302">
        <f>(F368+F371)*0.2</f>
        <v>1044.2049360000001</v>
      </c>
      <c r="G369" s="302">
        <f>(G368+G371)*0.2</f>
        <v>1075.1160782100001</v>
      </c>
      <c r="H369" s="302">
        <f t="shared" si="83"/>
        <v>3614.22401421</v>
      </c>
    </row>
    <row r="370" spans="1:8" ht="31.8" thickBot="1" x14ac:dyDescent="0.35">
      <c r="A370" s="2"/>
      <c r="B370" s="307" t="s">
        <v>309</v>
      </c>
      <c r="C370" s="208" t="s">
        <v>305</v>
      </c>
      <c r="D370" s="302">
        <f>D338</f>
        <v>1100</v>
      </c>
      <c r="E370" s="302">
        <f>E338</f>
        <v>1100</v>
      </c>
      <c r="F370" s="302">
        <f>F338</f>
        <v>1100</v>
      </c>
      <c r="G370" s="302">
        <f>G338</f>
        <v>1100</v>
      </c>
      <c r="H370" s="302">
        <f t="shared" si="83"/>
        <v>4400</v>
      </c>
    </row>
    <row r="371" spans="1:8" ht="36" customHeight="1" thickBot="1" x14ac:dyDescent="0.35">
      <c r="A371" s="2"/>
      <c r="B371" s="306" t="s">
        <v>307</v>
      </c>
      <c r="C371" s="208" t="s">
        <v>305</v>
      </c>
      <c r="D371" s="304">
        <f>D340</f>
        <v>2550</v>
      </c>
      <c r="E371" s="304">
        <f>E340</f>
        <v>2674.5149999999999</v>
      </c>
      <c r="F371" s="304">
        <f>F340</f>
        <v>2821.0246800000004</v>
      </c>
      <c r="G371" s="304">
        <f>G340</f>
        <v>2975.5803910500003</v>
      </c>
      <c r="H371" s="302">
        <f t="shared" si="83"/>
        <v>11021.12007105</v>
      </c>
    </row>
    <row r="372" spans="1:8" ht="16.2" thickBot="1" x14ac:dyDescent="0.35">
      <c r="A372" s="2"/>
      <c r="B372" s="305" t="s">
        <v>204</v>
      </c>
      <c r="C372" s="208"/>
      <c r="D372" s="302">
        <f>(D370+D371)*0.2</f>
        <v>730</v>
      </c>
      <c r="E372" s="302">
        <f>(E370+E371)*0.2</f>
        <v>754.90300000000002</v>
      </c>
      <c r="F372" s="302">
        <f>(F370+F371)*0.2</f>
        <v>784.20493600000009</v>
      </c>
      <c r="G372" s="302">
        <f>(G370+G371)*0.2</f>
        <v>815.11607821000007</v>
      </c>
      <c r="H372" s="302"/>
    </row>
    <row r="373" spans="1:8" ht="16.2" thickBot="1" x14ac:dyDescent="0.35">
      <c r="A373" s="2"/>
      <c r="B373" s="305" t="s">
        <v>244</v>
      </c>
      <c r="C373" s="208"/>
      <c r="D373" s="207">
        <f>D365-D367-D369-D372</f>
        <v>13028</v>
      </c>
      <c r="E373" s="207">
        <f>E365-E367-E369-E372</f>
        <v>13373.964000000002</v>
      </c>
      <c r="F373" s="207">
        <f>F365-F367-F369-F372</f>
        <v>14193.601328000004</v>
      </c>
      <c r="G373" s="207">
        <f>G365-G367-G369-G372</f>
        <v>15061.295450580004</v>
      </c>
      <c r="H373" s="302">
        <f>SUM(D373:G373)</f>
        <v>55656.860778580012</v>
      </c>
    </row>
    <row r="374" spans="1:8" ht="16.2" thickBot="1" x14ac:dyDescent="0.35">
      <c r="A374" s="2"/>
      <c r="B374" s="305" t="s">
        <v>206</v>
      </c>
      <c r="C374" s="208" t="s">
        <v>306</v>
      </c>
      <c r="D374" s="207">
        <f>D406</f>
        <v>9122.3322405880663</v>
      </c>
      <c r="E374" s="207">
        <f t="shared" ref="E374:G374" si="84">E406</f>
        <v>9647.5674119182477</v>
      </c>
      <c r="F374" s="207">
        <f t="shared" si="84"/>
        <v>10336.257514097442</v>
      </c>
      <c r="G374" s="207">
        <f t="shared" si="84"/>
        <v>11071.761956845468</v>
      </c>
      <c r="H374" s="302">
        <f>SUM(D374:G374)</f>
        <v>40177.919123449225</v>
      </c>
    </row>
    <row r="375" spans="1:8" ht="16.2" thickBot="1" x14ac:dyDescent="0.35">
      <c r="A375" s="2"/>
      <c r="B375" s="305" t="s">
        <v>207</v>
      </c>
      <c r="C375" s="208"/>
      <c r="D375" s="207">
        <f>D373+D374</f>
        <v>22150.332240588068</v>
      </c>
      <c r="E375" s="207">
        <f>E373+E374</f>
        <v>23021.531411918251</v>
      </c>
      <c r="F375" s="207">
        <f>F373+F374</f>
        <v>24529.858842097448</v>
      </c>
      <c r="G375" s="207">
        <f>G373+G374</f>
        <v>26133.057407425473</v>
      </c>
      <c r="H375" s="207">
        <f>SUM(D375:G375)</f>
        <v>95834.779902029244</v>
      </c>
    </row>
    <row r="376" spans="1:8" ht="16.2" thickBot="1" x14ac:dyDescent="0.35">
      <c r="A376" s="2"/>
      <c r="B376" s="305"/>
      <c r="C376" s="208"/>
      <c r="D376" s="302"/>
      <c r="E376" s="302"/>
      <c r="F376" s="302"/>
      <c r="G376" s="302"/>
      <c r="H376" s="302"/>
    </row>
    <row r="377" spans="1:8" ht="18" thickBot="1" x14ac:dyDescent="0.35">
      <c r="A377" s="2"/>
      <c r="B377" s="442" t="s">
        <v>208</v>
      </c>
      <c r="C377" s="443"/>
      <c r="D377" s="443"/>
      <c r="E377" s="443"/>
      <c r="F377" s="443"/>
      <c r="G377" s="443"/>
      <c r="H377" s="443"/>
    </row>
    <row r="378" spans="1:8" ht="16.2" thickBot="1" x14ac:dyDescent="0.35">
      <c r="A378" s="2"/>
      <c r="B378" s="199" t="s">
        <v>13</v>
      </c>
      <c r="C378" s="200"/>
      <c r="D378" s="441" t="s">
        <v>77</v>
      </c>
      <c r="E378" s="441"/>
      <c r="F378" s="194"/>
      <c r="G378" s="201" t="s">
        <v>32</v>
      </c>
      <c r="H378" s="199" t="s">
        <v>16</v>
      </c>
    </row>
    <row r="379" spans="1:8" ht="16.2" thickBot="1" x14ac:dyDescent="0.35">
      <c r="A379" s="2"/>
      <c r="B379" s="193"/>
      <c r="C379" s="195" t="s">
        <v>18</v>
      </c>
      <c r="D379" s="195" t="s">
        <v>19</v>
      </c>
      <c r="E379" s="195" t="s">
        <v>20</v>
      </c>
      <c r="F379" s="202" t="s">
        <v>21</v>
      </c>
      <c r="G379" s="203" t="s">
        <v>18</v>
      </c>
      <c r="H379" s="193" t="s">
        <v>22</v>
      </c>
    </row>
    <row r="380" spans="1:8" ht="16.2" thickBot="1" x14ac:dyDescent="0.35">
      <c r="A380" s="2"/>
      <c r="B380" s="204" t="s">
        <v>205</v>
      </c>
      <c r="C380" s="197">
        <f>D373</f>
        <v>13028</v>
      </c>
      <c r="D380" s="197">
        <f t="shared" ref="D380:F380" si="85">E373</f>
        <v>13373.964000000002</v>
      </c>
      <c r="E380" s="197">
        <f t="shared" si="85"/>
        <v>14193.601328000004</v>
      </c>
      <c r="F380" s="197">
        <f t="shared" si="85"/>
        <v>15061.295450580004</v>
      </c>
      <c r="G380" s="194" t="s">
        <v>34</v>
      </c>
      <c r="H380" s="205">
        <f>SUM(C380:F380)</f>
        <v>55656.860778580012</v>
      </c>
    </row>
    <row r="381" spans="1:8" ht="16.2" thickBot="1" x14ac:dyDescent="0.35">
      <c r="A381" s="2"/>
      <c r="B381" s="208" t="s">
        <v>206</v>
      </c>
      <c r="C381" s="197">
        <f>D374</f>
        <v>9122.3322405880663</v>
      </c>
      <c r="D381" s="197">
        <f t="shared" ref="D381:F381" si="86">E374</f>
        <v>9647.5674119182477</v>
      </c>
      <c r="E381" s="197">
        <f t="shared" si="86"/>
        <v>10336.257514097442</v>
      </c>
      <c r="F381" s="197">
        <f t="shared" si="86"/>
        <v>11071.761956845468</v>
      </c>
      <c r="G381" s="194" t="s">
        <v>34</v>
      </c>
      <c r="H381" s="205">
        <f>SUM(C381:F381)</f>
        <v>40177.919123449225</v>
      </c>
    </row>
    <row r="382" spans="1:8" ht="16.2" thickBot="1" x14ac:dyDescent="0.35">
      <c r="A382" s="2"/>
      <c r="B382" s="208" t="s">
        <v>144</v>
      </c>
      <c r="C382" s="346">
        <v>0</v>
      </c>
      <c r="D382" s="302">
        <f>C383</f>
        <v>22150.332240588068</v>
      </c>
      <c r="E382" s="302">
        <f t="shared" ref="E382:F382" si="87">D383</f>
        <v>23021.531411918251</v>
      </c>
      <c r="F382" s="302">
        <f t="shared" si="87"/>
        <v>24529.858842097448</v>
      </c>
      <c r="G382" s="194" t="s">
        <v>34</v>
      </c>
      <c r="H382" s="205"/>
    </row>
    <row r="383" spans="1:8" ht="16.2" thickBot="1" x14ac:dyDescent="0.35">
      <c r="A383" s="2"/>
      <c r="B383" s="208" t="s">
        <v>245</v>
      </c>
      <c r="C383" s="302">
        <f>C380+C381+C382-C391</f>
        <v>22150.332240588068</v>
      </c>
      <c r="D383" s="302">
        <f t="shared" ref="D383:F383" si="88">D380+D381+D382-D391</f>
        <v>23021.531411918251</v>
      </c>
      <c r="E383" s="302">
        <f t="shared" si="88"/>
        <v>24529.858842097448</v>
      </c>
      <c r="F383" s="302">
        <f t="shared" si="88"/>
        <v>26133.057407425476</v>
      </c>
      <c r="G383" s="206" t="s">
        <v>34</v>
      </c>
      <c r="H383" s="205"/>
    </row>
    <row r="384" spans="1:8" ht="16.2" thickBot="1" x14ac:dyDescent="0.35">
      <c r="A384" s="2"/>
      <c r="B384" s="209" t="s">
        <v>317</v>
      </c>
      <c r="C384" s="351"/>
      <c r="D384" s="210"/>
      <c r="E384" s="210"/>
      <c r="F384" s="351"/>
      <c r="G384" s="351"/>
      <c r="H384" s="190"/>
    </row>
    <row r="385" spans="1:9" ht="16.2" thickBot="1" x14ac:dyDescent="0.35">
      <c r="A385" s="2"/>
      <c r="B385" s="211" t="s">
        <v>39</v>
      </c>
      <c r="C385" s="352"/>
      <c r="D385" s="352"/>
      <c r="E385" s="352"/>
      <c r="F385" s="352"/>
      <c r="G385" s="351"/>
      <c r="H385" s="206"/>
    </row>
    <row r="386" spans="1:9" ht="16.2" thickBot="1" x14ac:dyDescent="0.35">
      <c r="A386" s="2"/>
      <c r="B386" s="211" t="s">
        <v>40</v>
      </c>
      <c r="C386" s="353"/>
      <c r="D386" s="353">
        <f>C380+C381</f>
        <v>22150.332240588068</v>
      </c>
      <c r="E386" s="353"/>
      <c r="F386" s="353"/>
      <c r="G386" s="353"/>
      <c r="H386" s="212">
        <f>SUM(C386:G386)</f>
        <v>22150.332240588068</v>
      </c>
    </row>
    <row r="387" spans="1:9" ht="16.2" thickBot="1" x14ac:dyDescent="0.35">
      <c r="A387" s="2"/>
      <c r="B387" s="211" t="s">
        <v>41</v>
      </c>
      <c r="C387" s="354"/>
      <c r="D387" s="353"/>
      <c r="E387" s="353">
        <f>D380+D381</f>
        <v>23021.531411918251</v>
      </c>
      <c r="F387" s="354"/>
      <c r="G387" s="355"/>
      <c r="H387" s="212">
        <f>SUM(C387:G387)</f>
        <v>23021.531411918251</v>
      </c>
    </row>
    <row r="388" spans="1:9" ht="16.2" thickBot="1" x14ac:dyDescent="0.35">
      <c r="A388" s="2"/>
      <c r="B388" s="211" t="s">
        <v>42</v>
      </c>
      <c r="C388" s="354"/>
      <c r="D388" s="354"/>
      <c r="E388" s="353"/>
      <c r="F388" s="353">
        <f>E380+E381</f>
        <v>24529.858842097448</v>
      </c>
      <c r="G388" s="355"/>
      <c r="H388" s="212">
        <f>SUM(C388:G388)</f>
        <v>24529.858842097448</v>
      </c>
    </row>
    <row r="389" spans="1:9" ht="16.2" thickBot="1" x14ac:dyDescent="0.35">
      <c r="A389" s="2"/>
      <c r="B389" s="213" t="s">
        <v>43</v>
      </c>
      <c r="C389" s="356"/>
      <c r="D389" s="356"/>
      <c r="E389" s="356"/>
      <c r="F389" s="353"/>
      <c r="G389" s="353">
        <f>+F380+F381</f>
        <v>26133.057407425473</v>
      </c>
      <c r="H389" s="212">
        <f>SUM(C389:G389)</f>
        <v>26133.057407425473</v>
      </c>
    </row>
    <row r="390" spans="1:9" ht="15.6" x14ac:dyDescent="0.3">
      <c r="A390" s="2"/>
      <c r="B390" s="450" t="s">
        <v>209</v>
      </c>
      <c r="C390" s="192"/>
      <c r="D390" s="192"/>
      <c r="E390" s="192"/>
      <c r="F390" s="192"/>
      <c r="G390" s="190"/>
      <c r="H390" s="214">
        <f>SUM(H386:H389)</f>
        <v>95834.779902029244</v>
      </c>
    </row>
    <row r="391" spans="1:9" ht="16.2" thickBot="1" x14ac:dyDescent="0.35">
      <c r="A391" s="2"/>
      <c r="B391" s="451"/>
      <c r="C391" s="198">
        <f>SUM(C385:C389)</f>
        <v>0</v>
      </c>
      <c r="D391" s="198">
        <f t="shared" ref="D391:G391" si="89">SUM(D385:D389)</f>
        <v>22150.332240588068</v>
      </c>
      <c r="E391" s="198">
        <f t="shared" si="89"/>
        <v>23021.531411918251</v>
      </c>
      <c r="F391" s="198">
        <f t="shared" si="89"/>
        <v>24529.858842097448</v>
      </c>
      <c r="G391" s="198">
        <f t="shared" si="89"/>
        <v>26133.057407425473</v>
      </c>
      <c r="H391" s="212">
        <f>SUM(C391:G391)</f>
        <v>95834.779902029244</v>
      </c>
    </row>
    <row r="392" spans="1:9" ht="15.6" x14ac:dyDescent="0.3">
      <c r="A392" s="2"/>
      <c r="B392" s="215"/>
      <c r="C392" s="216"/>
      <c r="D392" s="216"/>
      <c r="E392" s="216"/>
      <c r="F392" s="216"/>
      <c r="G392" s="216"/>
      <c r="H392" s="216"/>
    </row>
    <row r="393" spans="1:9" ht="17.399999999999999" x14ac:dyDescent="0.3">
      <c r="A393" s="283"/>
      <c r="B393" s="51" t="s">
        <v>210</v>
      </c>
      <c r="C393" s="217"/>
      <c r="D393" s="218"/>
      <c r="E393" s="2"/>
      <c r="F393" s="2"/>
      <c r="G393" s="2"/>
      <c r="H393" s="2"/>
    </row>
    <row r="394" spans="1:9" ht="18" x14ac:dyDescent="0.35">
      <c r="A394" s="7" t="s">
        <v>211</v>
      </c>
      <c r="B394" s="2"/>
      <c r="C394" s="2"/>
      <c r="D394" s="2"/>
      <c r="E394" s="2"/>
      <c r="F394" s="2"/>
      <c r="G394" s="2"/>
      <c r="H394" s="2"/>
    </row>
    <row r="395" spans="1:9" ht="18.600000000000001" thickBot="1" x14ac:dyDescent="0.4">
      <c r="A395" s="219"/>
      <c r="B395" s="14" t="s">
        <v>212</v>
      </c>
      <c r="C395" s="220"/>
      <c r="D395" s="220"/>
      <c r="E395" s="221"/>
      <c r="F395" s="221"/>
      <c r="G395" s="16"/>
      <c r="H395" s="219"/>
    </row>
    <row r="396" spans="1:9" ht="18" thickBot="1" x14ac:dyDescent="0.35">
      <c r="A396" s="5"/>
      <c r="B396" s="286" t="s">
        <v>213</v>
      </c>
      <c r="C396" s="287" t="s">
        <v>133</v>
      </c>
      <c r="D396" s="288"/>
      <c r="E396" s="289"/>
      <c r="F396" s="289" t="s">
        <v>77</v>
      </c>
      <c r="G396" s="290"/>
      <c r="H396" s="290"/>
    </row>
    <row r="397" spans="1:9" ht="16.2" thickBot="1" x14ac:dyDescent="0.35">
      <c r="A397" s="219"/>
      <c r="B397" s="286"/>
      <c r="C397" s="291"/>
      <c r="D397" s="292" t="s">
        <v>18</v>
      </c>
      <c r="E397" s="292" t="s">
        <v>19</v>
      </c>
      <c r="F397" s="292" t="s">
        <v>20</v>
      </c>
      <c r="G397" s="292" t="s">
        <v>21</v>
      </c>
      <c r="H397" s="292" t="s">
        <v>16</v>
      </c>
    </row>
    <row r="398" spans="1:9" ht="16.2" thickBot="1" x14ac:dyDescent="0.35">
      <c r="A398" s="219"/>
      <c r="B398" s="293" t="s">
        <v>214</v>
      </c>
      <c r="C398" s="294"/>
      <c r="D398" s="349">
        <f>D30</f>
        <v>85000</v>
      </c>
      <c r="E398" s="349">
        <f>E30</f>
        <v>89150.5</v>
      </c>
      <c r="F398" s="349">
        <f>F30</f>
        <v>94034.156000000017</v>
      </c>
      <c r="G398" s="349">
        <f>G30</f>
        <v>99186.013035000011</v>
      </c>
      <c r="H398" s="349">
        <f>SUM(D398:G398)</f>
        <v>367370.66903500003</v>
      </c>
      <c r="I398" t="s">
        <v>285</v>
      </c>
    </row>
    <row r="399" spans="1:9" ht="16.2" thickBot="1" x14ac:dyDescent="0.35">
      <c r="A399" s="219"/>
      <c r="B399" s="293" t="s">
        <v>165</v>
      </c>
      <c r="C399" s="294"/>
      <c r="D399" s="349">
        <f>D305</f>
        <v>28213.656441177409</v>
      </c>
      <c r="E399" s="349">
        <f>E305</f>
        <v>29321.66826712084</v>
      </c>
      <c r="F399" s="349">
        <f>F305</f>
        <v>30232.758463903112</v>
      </c>
      <c r="G399" s="349">
        <f>G305</f>
        <v>31143.923994808509</v>
      </c>
      <c r="H399" s="349">
        <f t="shared" ref="H399:H407" si="90">SUM(D399:G399)</f>
        <v>118912.00716700987</v>
      </c>
      <c r="I399" t="s">
        <v>286</v>
      </c>
    </row>
    <row r="400" spans="1:9" ht="16.2" thickBot="1" x14ac:dyDescent="0.35">
      <c r="A400" s="219"/>
      <c r="B400" s="295" t="s">
        <v>215</v>
      </c>
      <c r="C400" s="294"/>
      <c r="D400" s="349">
        <f>D398-D399</f>
        <v>56786.343558822591</v>
      </c>
      <c r="E400" s="349">
        <f t="shared" ref="E400:G400" si="91">E398-E399</f>
        <v>59828.83173287916</v>
      </c>
      <c r="F400" s="349">
        <f t="shared" si="91"/>
        <v>63801.397536096905</v>
      </c>
      <c r="G400" s="349">
        <f t="shared" si="91"/>
        <v>68042.089040191495</v>
      </c>
      <c r="H400" s="349">
        <f t="shared" si="90"/>
        <v>248458.66186799016</v>
      </c>
    </row>
    <row r="401" spans="1:9" ht="16.2" thickBot="1" x14ac:dyDescent="0.35">
      <c r="A401" s="219"/>
      <c r="B401" s="293" t="s">
        <v>216</v>
      </c>
      <c r="C401" s="294"/>
      <c r="D401" s="349">
        <f>D341</f>
        <v>6106.7199999999993</v>
      </c>
      <c r="E401" s="349">
        <f>E341</f>
        <v>6231.2349999999997</v>
      </c>
      <c r="F401" s="349">
        <f>F341</f>
        <v>6377.7446799999998</v>
      </c>
      <c r="G401" s="349">
        <f>G341</f>
        <v>6532.3003910500001</v>
      </c>
      <c r="H401" s="349">
        <f t="shared" si="90"/>
        <v>25248.000071049999</v>
      </c>
      <c r="I401" t="s">
        <v>287</v>
      </c>
    </row>
    <row r="402" spans="1:9" ht="16.2" thickBot="1" x14ac:dyDescent="0.35">
      <c r="A402" s="219"/>
      <c r="B402" s="295" t="s">
        <v>217</v>
      </c>
      <c r="C402" s="296"/>
      <c r="D402" s="349">
        <f>D400-D401</f>
        <v>50679.62355882259</v>
      </c>
      <c r="E402" s="349">
        <f t="shared" ref="E402:G402" si="92">E400-E401</f>
        <v>53597.596732879159</v>
      </c>
      <c r="F402" s="349">
        <f t="shared" si="92"/>
        <v>57423.652856096902</v>
      </c>
      <c r="G402" s="349">
        <f t="shared" si="92"/>
        <v>61509.788649141497</v>
      </c>
      <c r="H402" s="349">
        <f t="shared" si="90"/>
        <v>223210.66179694014</v>
      </c>
    </row>
    <row r="403" spans="1:9" ht="16.2" thickBot="1" x14ac:dyDescent="0.35">
      <c r="A403" s="219"/>
      <c r="B403" s="295" t="s">
        <v>218</v>
      </c>
      <c r="C403" s="297"/>
      <c r="D403" s="350"/>
      <c r="E403" s="340"/>
      <c r="F403" s="340"/>
      <c r="G403" s="340"/>
      <c r="H403" s="349">
        <f t="shared" si="90"/>
        <v>0</v>
      </c>
    </row>
    <row r="404" spans="1:9" ht="16.2" thickBot="1" x14ac:dyDescent="0.35">
      <c r="A404" s="2"/>
      <c r="B404" s="295" t="s">
        <v>219</v>
      </c>
      <c r="C404" s="296"/>
      <c r="D404" s="349"/>
      <c r="E404" s="349"/>
      <c r="F404" s="349"/>
      <c r="G404" s="349"/>
      <c r="H404" s="349">
        <f t="shared" si="90"/>
        <v>0</v>
      </c>
    </row>
    <row r="405" spans="1:9" ht="16.2" thickBot="1" x14ac:dyDescent="0.35">
      <c r="A405" s="2"/>
      <c r="B405" s="295" t="s">
        <v>220</v>
      </c>
      <c r="C405" s="294"/>
      <c r="D405" s="349">
        <f>D402-D403-D404</f>
        <v>50679.62355882259</v>
      </c>
      <c r="E405" s="349">
        <f t="shared" ref="E405:G405" si="93">E402-E403-E404</f>
        <v>53597.596732879159</v>
      </c>
      <c r="F405" s="349">
        <f t="shared" si="93"/>
        <v>57423.652856096902</v>
      </c>
      <c r="G405" s="349">
        <f t="shared" si="93"/>
        <v>61509.788649141497</v>
      </c>
      <c r="H405" s="349">
        <f t="shared" si="90"/>
        <v>223210.66179694014</v>
      </c>
    </row>
    <row r="406" spans="1:9" ht="16.2" thickBot="1" x14ac:dyDescent="0.35">
      <c r="A406" s="2"/>
      <c r="B406" s="298" t="s">
        <v>206</v>
      </c>
      <c r="C406" s="294"/>
      <c r="D406" s="349">
        <f>D405*П_прибуток</f>
        <v>9122.3322405880663</v>
      </c>
      <c r="E406" s="349">
        <f>E405*П_прибуток</f>
        <v>9647.5674119182477</v>
      </c>
      <c r="F406" s="349">
        <f>F405*П_прибуток</f>
        <v>10336.257514097442</v>
      </c>
      <c r="G406" s="349">
        <f>G405*П_прибуток</f>
        <v>11071.761956845468</v>
      </c>
      <c r="H406" s="349">
        <f t="shared" si="90"/>
        <v>40177.919123449225</v>
      </c>
    </row>
    <row r="407" spans="1:9" ht="16.2" thickBot="1" x14ac:dyDescent="0.35">
      <c r="A407" s="2"/>
      <c r="B407" s="298" t="s">
        <v>288</v>
      </c>
      <c r="C407" s="294"/>
      <c r="D407" s="349">
        <f>D405-D406</f>
        <v>41557.291318234522</v>
      </c>
      <c r="E407" s="349">
        <f t="shared" ref="E407:G407" si="94">E405-E406</f>
        <v>43950.029320960908</v>
      </c>
      <c r="F407" s="349">
        <f t="shared" si="94"/>
        <v>47087.395341999458</v>
      </c>
      <c r="G407" s="349">
        <f t="shared" si="94"/>
        <v>50438.026692296029</v>
      </c>
      <c r="H407" s="349">
        <f t="shared" si="90"/>
        <v>183032.74267349092</v>
      </c>
    </row>
    <row r="408" spans="1:9" ht="16.2" thickBot="1" x14ac:dyDescent="0.35">
      <c r="A408" s="2"/>
      <c r="B408" s="300" t="s">
        <v>221</v>
      </c>
      <c r="C408" s="301"/>
      <c r="D408" s="341">
        <f>D407</f>
        <v>41557.291318234522</v>
      </c>
      <c r="E408" s="341">
        <f>D408+E407</f>
        <v>85507.32063919543</v>
      </c>
      <c r="F408" s="341">
        <f t="shared" ref="F408:G408" si="95">E408+F407</f>
        <v>132594.71598119489</v>
      </c>
      <c r="G408" s="341">
        <f t="shared" si="95"/>
        <v>183032.74267349092</v>
      </c>
      <c r="H408" s="342" t="s">
        <v>316</v>
      </c>
    </row>
    <row r="409" spans="1:9" ht="15.6" x14ac:dyDescent="0.3">
      <c r="A409" s="2"/>
      <c r="B409" s="2"/>
      <c r="C409" s="2"/>
      <c r="D409" s="2"/>
      <c r="E409" s="225"/>
      <c r="F409" s="225"/>
      <c r="G409" s="225"/>
      <c r="H409" s="225"/>
    </row>
    <row r="410" spans="1:9" ht="15.6" x14ac:dyDescent="0.3">
      <c r="A410" s="2"/>
      <c r="B410" s="2"/>
      <c r="C410" s="2"/>
      <c r="D410" s="2"/>
      <c r="E410" s="225"/>
      <c r="F410" s="225"/>
      <c r="G410" s="225"/>
      <c r="H410" s="225"/>
    </row>
    <row r="411" spans="1:9" ht="17.399999999999999" x14ac:dyDescent="0.3">
      <c r="A411" s="283"/>
      <c r="B411" s="51" t="s">
        <v>243</v>
      </c>
      <c r="C411" s="2"/>
      <c r="D411" s="2"/>
      <c r="E411" s="225"/>
      <c r="F411" s="225"/>
      <c r="G411" s="225"/>
      <c r="H411" s="225"/>
    </row>
    <row r="412" spans="1:9" ht="18" x14ac:dyDescent="0.35">
      <c r="A412" s="7" t="s">
        <v>222</v>
      </c>
      <c r="B412" s="2"/>
      <c r="C412" s="2"/>
      <c r="D412" s="2"/>
      <c r="E412" s="2"/>
      <c r="F412" s="2"/>
      <c r="G412" s="2"/>
      <c r="H412" s="2"/>
    </row>
    <row r="413" spans="1:9" ht="18.600000000000001" thickBot="1" x14ac:dyDescent="0.4">
      <c r="A413" s="219"/>
      <c r="B413" s="14" t="s">
        <v>223</v>
      </c>
      <c r="C413" s="220"/>
      <c r="D413" s="220"/>
      <c r="E413" s="221"/>
      <c r="F413" s="221"/>
      <c r="G413" s="16"/>
      <c r="H413" s="219"/>
    </row>
    <row r="414" spans="1:9" ht="18" thickBot="1" x14ac:dyDescent="0.35">
      <c r="A414" s="5"/>
      <c r="B414" s="104" t="s">
        <v>131</v>
      </c>
      <c r="C414" s="287" t="s">
        <v>133</v>
      </c>
      <c r="D414" s="59"/>
      <c r="E414" s="19" t="s">
        <v>77</v>
      </c>
      <c r="F414" s="60"/>
      <c r="G414" s="60"/>
      <c r="H414" s="62" t="s">
        <v>16</v>
      </c>
    </row>
    <row r="415" spans="1:9" ht="16.2" thickBot="1" x14ac:dyDescent="0.35">
      <c r="A415" s="219"/>
      <c r="B415" s="226"/>
      <c r="C415" s="227"/>
      <c r="D415" s="222" t="s">
        <v>18</v>
      </c>
      <c r="E415" s="223" t="s">
        <v>19</v>
      </c>
      <c r="F415" s="223" t="s">
        <v>20</v>
      </c>
      <c r="G415" s="224" t="s">
        <v>21</v>
      </c>
      <c r="H415" s="228" t="s">
        <v>22</v>
      </c>
    </row>
    <row r="416" spans="1:9" ht="16.2" thickBot="1" x14ac:dyDescent="0.35">
      <c r="A416" s="2"/>
      <c r="B416" s="336" t="s">
        <v>224</v>
      </c>
      <c r="C416" s="292"/>
      <c r="D416" s="343">
        <v>0</v>
      </c>
      <c r="E416" s="343">
        <f>D435</f>
        <v>47078.400000000001</v>
      </c>
      <c r="F416" s="343">
        <f t="shared" ref="F416:G416" si="96">E435</f>
        <v>91576.685359411902</v>
      </c>
      <c r="G416" s="343">
        <f t="shared" si="96"/>
        <v>140527.79369469365</v>
      </c>
      <c r="H416" s="341" t="s">
        <v>34</v>
      </c>
    </row>
    <row r="417" spans="1:8" ht="16.2" thickBot="1" x14ac:dyDescent="0.35">
      <c r="A417" s="2"/>
      <c r="B417" s="336" t="s">
        <v>225</v>
      </c>
      <c r="C417" s="292"/>
      <c r="D417" s="344"/>
      <c r="E417" s="344"/>
      <c r="F417" s="344"/>
      <c r="G417" s="344"/>
      <c r="H417" s="345"/>
    </row>
    <row r="418" spans="1:8" ht="16.2" thickBot="1" x14ac:dyDescent="0.35">
      <c r="A418" s="2"/>
      <c r="B418" s="314" t="s">
        <v>226</v>
      </c>
      <c r="C418" s="292"/>
      <c r="D418" s="343">
        <f>C47</f>
        <v>71400</v>
      </c>
      <c r="E418" s="343">
        <f>D47</f>
        <v>105486.41999999998</v>
      </c>
      <c r="F418" s="343">
        <f>E47</f>
        <v>111082.87104</v>
      </c>
      <c r="G418" s="343">
        <f>F47</f>
        <v>117168.54710940001</v>
      </c>
      <c r="H418" s="341">
        <f>SUM(D418:G418)</f>
        <v>405137.83814939996</v>
      </c>
    </row>
    <row r="419" spans="1:8" ht="16.2" thickBot="1" x14ac:dyDescent="0.35">
      <c r="A419" s="2"/>
      <c r="B419" s="314" t="s">
        <v>227</v>
      </c>
      <c r="C419" s="292"/>
      <c r="D419" s="343"/>
      <c r="E419" s="343"/>
      <c r="F419" s="343"/>
      <c r="G419" s="343"/>
      <c r="H419" s="341">
        <f t="shared" ref="H419:H434" si="97">SUM(D419:G419)</f>
        <v>0</v>
      </c>
    </row>
    <row r="420" spans="1:8" ht="16.2" thickBot="1" x14ac:dyDescent="0.35">
      <c r="A420" s="2"/>
      <c r="B420" s="314" t="s">
        <v>228</v>
      </c>
      <c r="C420" s="292"/>
      <c r="D420" s="343"/>
      <c r="E420" s="343"/>
      <c r="F420" s="343"/>
      <c r="G420" s="343"/>
      <c r="H420" s="341">
        <f t="shared" si="97"/>
        <v>0</v>
      </c>
    </row>
    <row r="421" spans="1:8" ht="16.2" thickBot="1" x14ac:dyDescent="0.35">
      <c r="A421" s="2"/>
      <c r="B421" s="336" t="s">
        <v>229</v>
      </c>
      <c r="C421" s="292"/>
      <c r="D421" s="341">
        <f>D418+D419+D420</f>
        <v>71400</v>
      </c>
      <c r="E421" s="341">
        <f t="shared" ref="E421:G421" si="98">E418+E419+E420</f>
        <v>105486.41999999998</v>
      </c>
      <c r="F421" s="341">
        <f t="shared" si="98"/>
        <v>111082.87104</v>
      </c>
      <c r="G421" s="341">
        <f t="shared" si="98"/>
        <v>117168.54710940001</v>
      </c>
      <c r="H421" s="341">
        <f t="shared" si="97"/>
        <v>405137.83814939996</v>
      </c>
    </row>
    <row r="422" spans="1:8" ht="16.2" thickBot="1" x14ac:dyDescent="0.35">
      <c r="A422" s="2"/>
      <c r="B422" s="336"/>
      <c r="C422" s="292"/>
      <c r="D422" s="344"/>
      <c r="E422" s="344"/>
      <c r="F422" s="344"/>
      <c r="G422" s="344"/>
      <c r="H422" s="341">
        <f t="shared" si="97"/>
        <v>0</v>
      </c>
    </row>
    <row r="423" spans="1:8" ht="16.2" thickBot="1" x14ac:dyDescent="0.35">
      <c r="A423" s="2"/>
      <c r="B423" s="336" t="s">
        <v>230</v>
      </c>
      <c r="C423" s="292"/>
      <c r="D423" s="344"/>
      <c r="E423" s="344"/>
      <c r="F423" s="344"/>
      <c r="G423" s="344"/>
      <c r="H423" s="341">
        <f t="shared" si="97"/>
        <v>0</v>
      </c>
    </row>
    <row r="424" spans="1:8" ht="16.2" thickBot="1" x14ac:dyDescent="0.35">
      <c r="A424" s="2"/>
      <c r="B424" s="314" t="s">
        <v>231</v>
      </c>
      <c r="C424" s="292"/>
      <c r="D424" s="343">
        <f>C119</f>
        <v>9943.1999999999989</v>
      </c>
      <c r="E424" s="343">
        <f>D119</f>
        <v>16299.588</v>
      </c>
      <c r="F424" s="343">
        <f>E119</f>
        <v>16472.544000000002</v>
      </c>
      <c r="G424" s="343">
        <f>F119</f>
        <v>17071.998</v>
      </c>
      <c r="H424" s="341">
        <f t="shared" si="97"/>
        <v>59787.33</v>
      </c>
    </row>
    <row r="425" spans="1:8" ht="16.2" thickBot="1" x14ac:dyDescent="0.35">
      <c r="A425" s="2"/>
      <c r="B425" s="314" t="s">
        <v>232</v>
      </c>
      <c r="C425" s="292"/>
      <c r="D425" s="343">
        <f>C159</f>
        <v>4572</v>
      </c>
      <c r="E425" s="343">
        <f>D159</f>
        <v>7371</v>
      </c>
      <c r="F425" s="343">
        <f>E159</f>
        <v>7363.4</v>
      </c>
      <c r="G425" s="343">
        <f>F159</f>
        <v>7626.8</v>
      </c>
      <c r="H425" s="341">
        <f t="shared" si="97"/>
        <v>26933.200000000001</v>
      </c>
    </row>
    <row r="426" spans="1:8" ht="16.2" thickBot="1" x14ac:dyDescent="0.35">
      <c r="A426" s="2"/>
      <c r="B426" s="314" t="s">
        <v>233</v>
      </c>
      <c r="C426" s="292"/>
      <c r="D426" s="343">
        <f>C199</f>
        <v>0</v>
      </c>
      <c r="E426" s="343">
        <f>D199</f>
        <v>1676.4</v>
      </c>
      <c r="F426" s="343">
        <f>E199</f>
        <v>1585.1</v>
      </c>
      <c r="G426" s="343">
        <f>F199</f>
        <v>1643.1799999999998</v>
      </c>
      <c r="H426" s="341">
        <f t="shared" si="97"/>
        <v>4904.68</v>
      </c>
    </row>
    <row r="427" spans="1:8" ht="16.2" thickBot="1" x14ac:dyDescent="0.35">
      <c r="A427" s="2"/>
      <c r="B427" s="314" t="s">
        <v>234</v>
      </c>
      <c r="C427" s="292"/>
      <c r="D427" s="343">
        <f>C268</f>
        <v>5162.3999999999996</v>
      </c>
      <c r="E427" s="343">
        <f>D268</f>
        <v>6673.2800000000007</v>
      </c>
      <c r="F427" s="343">
        <f>E268</f>
        <v>6701.12</v>
      </c>
      <c r="G427" s="343">
        <f>F268</f>
        <v>6728.96</v>
      </c>
      <c r="H427" s="341">
        <f t="shared" si="97"/>
        <v>25265.759999999998</v>
      </c>
    </row>
    <row r="428" spans="1:8" ht="16.2" thickBot="1" x14ac:dyDescent="0.35">
      <c r="A428" s="2"/>
      <c r="B428" s="314" t="s">
        <v>235</v>
      </c>
      <c r="C428" s="292"/>
      <c r="D428" s="343">
        <f>C358</f>
        <v>4644</v>
      </c>
      <c r="E428" s="343">
        <f>D358</f>
        <v>6817.5344000000005</v>
      </c>
      <c r="F428" s="343">
        <f>E358</f>
        <v>6988.0672928000013</v>
      </c>
      <c r="G428" s="343">
        <f>F358</f>
        <v>7171.6030986080013</v>
      </c>
      <c r="H428" s="341">
        <f t="shared" si="97"/>
        <v>25621.204791408003</v>
      </c>
    </row>
    <row r="429" spans="1:8" ht="16.2" thickBot="1" x14ac:dyDescent="0.35">
      <c r="A429" s="2"/>
      <c r="B429" s="314" t="s">
        <v>236</v>
      </c>
      <c r="C429" s="292"/>
      <c r="D429" s="343">
        <f>C391</f>
        <v>0</v>
      </c>
      <c r="E429" s="343">
        <f t="shared" ref="E429:G429" si="99">D391</f>
        <v>22150.332240588068</v>
      </c>
      <c r="F429" s="343">
        <f t="shared" si="99"/>
        <v>23021.531411918251</v>
      </c>
      <c r="G429" s="343">
        <f t="shared" si="99"/>
        <v>24529.858842097448</v>
      </c>
      <c r="H429" s="341">
        <f t="shared" si="97"/>
        <v>69701.722494603775</v>
      </c>
    </row>
    <row r="430" spans="1:8" ht="16.2" thickBot="1" x14ac:dyDescent="0.35">
      <c r="A430" s="2"/>
      <c r="B430" s="314" t="s">
        <v>237</v>
      </c>
      <c r="C430" s="292"/>
      <c r="D430" s="343"/>
      <c r="E430" s="343"/>
      <c r="F430" s="343"/>
      <c r="G430" s="343"/>
      <c r="H430" s="341">
        <f t="shared" si="97"/>
        <v>0</v>
      </c>
    </row>
    <row r="431" spans="1:8" ht="16.8" thickBot="1" x14ac:dyDescent="0.4">
      <c r="A431" s="2"/>
      <c r="B431" s="337" t="s">
        <v>238</v>
      </c>
      <c r="C431" s="338"/>
      <c r="D431" s="343"/>
      <c r="E431" s="343"/>
      <c r="F431" s="343"/>
      <c r="G431" s="343"/>
      <c r="H431" s="341">
        <f t="shared" si="97"/>
        <v>0</v>
      </c>
    </row>
    <row r="432" spans="1:8" ht="16.8" thickBot="1" x14ac:dyDescent="0.4">
      <c r="A432" s="2"/>
      <c r="B432" s="337" t="s">
        <v>239</v>
      </c>
      <c r="C432" s="338"/>
      <c r="D432" s="343"/>
      <c r="E432" s="343"/>
      <c r="F432" s="343"/>
      <c r="G432" s="343"/>
      <c r="H432" s="341">
        <f t="shared" si="97"/>
        <v>0</v>
      </c>
    </row>
    <row r="433" spans="1:8" ht="16.2" thickBot="1" x14ac:dyDescent="0.35">
      <c r="A433" s="2"/>
      <c r="B433" s="339" t="s">
        <v>240</v>
      </c>
      <c r="C433" s="292"/>
      <c r="D433" s="343"/>
      <c r="E433" s="343"/>
      <c r="F433" s="343"/>
      <c r="G433" s="343"/>
      <c r="H433" s="341">
        <f t="shared" si="97"/>
        <v>0</v>
      </c>
    </row>
    <row r="434" spans="1:8" ht="16.2" thickBot="1" x14ac:dyDescent="0.35">
      <c r="A434" s="229">
        <v>0.25</v>
      </c>
      <c r="B434" s="336" t="s">
        <v>241</v>
      </c>
      <c r="C434" s="292"/>
      <c r="D434" s="341">
        <f>SUM(D424:D433)</f>
        <v>24321.599999999999</v>
      </c>
      <c r="E434" s="341">
        <f t="shared" ref="E434:G434" si="100">SUM(E424:E433)</f>
        <v>60988.134640588069</v>
      </c>
      <c r="F434" s="341">
        <f t="shared" si="100"/>
        <v>62131.762704718254</v>
      </c>
      <c r="G434" s="341">
        <f t="shared" si="100"/>
        <v>64772.399940705451</v>
      </c>
      <c r="H434" s="341">
        <f t="shared" si="97"/>
        <v>212213.89728601178</v>
      </c>
    </row>
    <row r="435" spans="1:8" ht="16.2" thickBot="1" x14ac:dyDescent="0.35">
      <c r="A435" s="2"/>
      <c r="B435" s="336" t="s">
        <v>242</v>
      </c>
      <c r="C435" s="292"/>
      <c r="D435" s="341">
        <f>D416+D421-D434</f>
        <v>47078.400000000001</v>
      </c>
      <c r="E435" s="341">
        <f t="shared" ref="E435:G435" si="101">E416+E421-E434</f>
        <v>91576.685359411902</v>
      </c>
      <c r="F435" s="341">
        <f t="shared" si="101"/>
        <v>140527.79369469365</v>
      </c>
      <c r="G435" s="341">
        <f t="shared" si="101"/>
        <v>192923.94086338821</v>
      </c>
      <c r="H435" s="341" t="s">
        <v>34</v>
      </c>
    </row>
    <row r="436" spans="1:8" ht="15.6" x14ac:dyDescent="0.3">
      <c r="A436" s="2"/>
      <c r="B436" s="2"/>
      <c r="C436" s="2"/>
      <c r="D436" s="2"/>
      <c r="E436" s="2"/>
      <c r="F436" s="2"/>
      <c r="G436" s="2"/>
      <c r="H436" s="2"/>
    </row>
  </sheetData>
  <mergeCells count="28">
    <mergeCell ref="B216:F216"/>
    <mergeCell ref="B217:F217"/>
    <mergeCell ref="B218:F218"/>
    <mergeCell ref="D378:E378"/>
    <mergeCell ref="B390:B391"/>
    <mergeCell ref="B324:F324"/>
    <mergeCell ref="B326:F326"/>
    <mergeCell ref="G217:H217"/>
    <mergeCell ref="G218:H218"/>
    <mergeCell ref="B321:F321"/>
    <mergeCell ref="B322:F322"/>
    <mergeCell ref="B323:F323"/>
    <mergeCell ref="J34:N38"/>
    <mergeCell ref="J59:N63"/>
    <mergeCell ref="J295:O299"/>
    <mergeCell ref="E362:F362"/>
    <mergeCell ref="B377:H377"/>
    <mergeCell ref="B213:F213"/>
    <mergeCell ref="B53:C53"/>
    <mergeCell ref="B54:C54"/>
    <mergeCell ref="B158:B159"/>
    <mergeCell ref="B207:F207"/>
    <mergeCell ref="B209:F209"/>
    <mergeCell ref="B210:F210"/>
    <mergeCell ref="B211:F211"/>
    <mergeCell ref="B212:F212"/>
    <mergeCell ref="B214:F214"/>
    <mergeCell ref="B215:F215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0" sqref="P10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2D44946E8163C4FA5E1E54AFE436E09" ma:contentTypeVersion="3" ma:contentTypeDescription="Створення нового документа." ma:contentTypeScope="" ma:versionID="938f931aa8538f1e0135abb31a9196b9">
  <xsd:schema xmlns:xsd="http://www.w3.org/2001/XMLSchema" xmlns:xs="http://www.w3.org/2001/XMLSchema" xmlns:p="http://schemas.microsoft.com/office/2006/metadata/properties" xmlns:ns2="c644ff11-5207-401a-86b9-8041c26293d1" targetNamespace="http://schemas.microsoft.com/office/2006/metadata/properties" ma:root="true" ma:fieldsID="a0e9fc8dfcd0201b19145daf02071b82" ns2:_="">
    <xsd:import namespace="c644ff11-5207-401a-86b9-8041c26293d1"/>
    <xsd:element name="properties">
      <xsd:complexType>
        <xsd:sequence>
          <xsd:element name="documentManagement">
            <xsd:complexType>
              <xsd:all>
                <xsd:element ref="ns2:ReferenceId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4ff11-5207-401a-86b9-8041c26293d1" elementFormDefault="qualified">
    <xsd:import namespace="http://schemas.microsoft.com/office/2006/documentManagement/types"/>
    <xsd:import namespace="http://schemas.microsoft.com/office/infopath/2007/PartnerControls"/>
    <xsd:element name="ReferenceId" ma:index="8" nillable="true" ma:displayName="ReferenceId" ma:indexed="true" ma:internalName="ReferenceId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E62E17-B300-4E18-B854-CF2FA05B3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44ff11-5207-401a-86b9-8041c26293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5BB4F7-7B63-4E8A-894C-982F803A11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Параметри</vt:lpstr>
      <vt:lpstr>Довідник</vt:lpstr>
      <vt:lpstr>Модель</vt:lpstr>
      <vt:lpstr>Амортизація</vt:lpstr>
      <vt:lpstr>ЄСВ</vt:lpstr>
      <vt:lpstr>П_прибуток</vt:lpstr>
      <vt:lpstr>ПДВ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Юркевич</dc:creator>
  <cp:lastModifiedBy>Семен</cp:lastModifiedBy>
  <dcterms:created xsi:type="dcterms:W3CDTF">2022-04-10T13:20:12Z</dcterms:created>
  <dcterms:modified xsi:type="dcterms:W3CDTF">2023-04-11T17:58:32Z</dcterms:modified>
</cp:coreProperties>
</file>