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670" activeTab="4"/>
  </bookViews>
  <sheets>
    <sheet name="ж-л операций" sheetId="1" r:id="rId1"/>
    <sheet name="ОСВ" sheetId="2" r:id="rId2"/>
    <sheet name="Баланс 2015" sheetId="3" r:id="rId3"/>
    <sheet name="Отч Фин рез" sheetId="4" r:id="rId4"/>
    <sheet name="ОДДС прямой" sheetId="5" r:id="rId5"/>
    <sheet name="ОДДС непрямой" sheetId="6" r:id="rId6"/>
    <sheet name="Собств. капитал" sheetId="7" r:id="rId7"/>
    <sheet name="Баланс 1-М" sheetId="8" r:id="rId8"/>
  </sheets>
  <definedNames/>
  <calcPr fullCalcOnLoad="1" fullPrecision="0"/>
</workbook>
</file>

<file path=xl/comments8.xml><?xml version="1.0" encoding="utf-8"?>
<comments xmlns="http://schemas.openxmlformats.org/spreadsheetml/2006/main">
  <authors>
    <author>Бондаренко Надежда Романовна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1591, 
від 27 червня 2013 року N 627
у редакції наказу Міністерства фінансів України
 від 8 лютого 2014 року N 48,
 із змінами і доповненнями, внесеними наказом
 Міністерства фінансів України
 від 14 липня 2014 року N 754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<sst xmlns="http://schemas.openxmlformats.org/spreadsheetml/2006/main" count="811" uniqueCount="505">
  <si>
    <t>Дебет</t>
  </si>
  <si>
    <t>Кредит</t>
  </si>
  <si>
    <t>Итого:</t>
  </si>
  <si>
    <t>реализованы товары 120 000 грн.</t>
  </si>
  <si>
    <t>в т.ч. НДС 20 000 грн.</t>
  </si>
  <si>
    <t>возвращены покупателем товары 1 500 грн.</t>
  </si>
  <si>
    <t xml:space="preserve">в т.ч. НДС 250 грн. </t>
  </si>
  <si>
    <t>получена оплата от покупателей 95 000 грн.</t>
  </si>
  <si>
    <t>в т.ч. НДС 2 500 грн.</t>
  </si>
  <si>
    <t>списывается себестоимость проданных товаров 50 000 грн.</t>
  </si>
  <si>
    <t>себестоимость возвращенных товаров 500 грн.</t>
  </si>
  <si>
    <t xml:space="preserve">приобретены товары у поставщика 42 300 грн., </t>
  </si>
  <si>
    <t>в т.ч. НДС 7 050 грн.</t>
  </si>
  <si>
    <t>оплачено поставщикам за товары 30 000 грн.,</t>
  </si>
  <si>
    <t>в т.ч. НДС 5 000 грн.</t>
  </si>
  <si>
    <t xml:space="preserve">перечислена предоплата поставщикам 18 000 грн., </t>
  </si>
  <si>
    <t>в т.ч. НДС 3 000 грн.</t>
  </si>
  <si>
    <t>произведена уценка товаров 750 грн.</t>
  </si>
  <si>
    <t>начислен резерв сомнительных долгов 2 100 грн.</t>
  </si>
  <si>
    <t>списана безнадежная дебиторская задолженность 2 500 грн.</t>
  </si>
  <si>
    <t>в т.ч. НДС 120 грн.</t>
  </si>
  <si>
    <t>в т.ч. НДС 150 грн.</t>
  </si>
  <si>
    <t xml:space="preserve">в т. ч. НДС 120 грн. </t>
  </si>
  <si>
    <t>начислена зарплата: админ. персоналу 10 000 грн.</t>
  </si>
  <si>
    <t>приобретено оборудование 21 200 грн.</t>
  </si>
  <si>
    <t>в т.ч. НДС 3 533 грн.</t>
  </si>
  <si>
    <t>услуги по доставке 500 грн., без НДС</t>
  </si>
  <si>
    <t>оборудование введено в эксплуатацию 18 167 грн.</t>
  </si>
  <si>
    <t>за доставку – 500 грн.</t>
  </si>
  <si>
    <t>выдана зарплата 10 000 грн.</t>
  </si>
  <si>
    <t>погашен кредит 12 500 грн.</t>
  </si>
  <si>
    <t>начислены проценты 3 125 грн.</t>
  </si>
  <si>
    <t>уплачены проценты 2 100 грн.</t>
  </si>
  <si>
    <t>приобретено 100 акций «АВС» за 15 000 грн.</t>
  </si>
  <si>
    <t>выплачены дивиденды 12 000 грн.</t>
  </si>
  <si>
    <t>налог на прибыль 3 000 грн.</t>
  </si>
  <si>
    <t>в т.ч. НДС 7 500 грн.</t>
  </si>
  <si>
    <t>износ 80 000 грн.</t>
  </si>
  <si>
    <t>перечислены денежные средства на депозит 75 000 грн.</t>
  </si>
  <si>
    <t>увеличен уставный капитал 450 000 грн.</t>
  </si>
  <si>
    <t>получена предоплата то покупателей 15 000 грн.</t>
  </si>
  <si>
    <t>№</t>
  </si>
  <si>
    <t>Операция</t>
  </si>
  <si>
    <t>Дт</t>
  </si>
  <si>
    <t>Кт</t>
  </si>
  <si>
    <t>Сумма</t>
  </si>
  <si>
    <t>списана стоимость топлива 2 000 грн. (сбыт)</t>
  </si>
  <si>
    <t xml:space="preserve">начислена арендная плата 900 грн., (сбыт) </t>
  </si>
  <si>
    <t>акцептован счет за электроэнергию 720 грн. - админ</t>
  </si>
  <si>
    <t>в т.ч. НДС 60,00 грн.</t>
  </si>
  <si>
    <t>оплачена подписка на 2 квартал 600,00 грн.</t>
  </si>
  <si>
    <t>в т.ч. НДС 100,00 грн.</t>
  </si>
  <si>
    <t>признаны расходы будущих периодов-подписка (акт) 600,00</t>
  </si>
  <si>
    <t>ЕСВ 3750 грн.</t>
  </si>
  <si>
    <t>131  №1</t>
  </si>
  <si>
    <t>104  №1</t>
  </si>
  <si>
    <t>104  №2</t>
  </si>
  <si>
    <t>104  №3</t>
  </si>
  <si>
    <t>104  №4</t>
  </si>
  <si>
    <t>объект № 2 - справедливая стоимость 1725000грн.</t>
  </si>
  <si>
    <t>начислены и выплачены проценты по депозиту 500 грн.</t>
  </si>
  <si>
    <t xml:space="preserve">                      основным работникам 75000 грн.</t>
  </si>
  <si>
    <t xml:space="preserve">                      ИТР 20000 грн.</t>
  </si>
  <si>
    <t xml:space="preserve">приобретены материалы у поставщика 90 300 грн., </t>
  </si>
  <si>
    <t>в т.ч. НДС 15050 грн.</t>
  </si>
  <si>
    <t>перечислена оплата за материалы 65000 грн.</t>
  </si>
  <si>
    <t>начислен единый соц. взнос (38 %):</t>
  </si>
  <si>
    <t xml:space="preserve">директор предоставил авансовый отчет о команд.расходах 1 300 грн., </t>
  </si>
  <si>
    <t>в том числе НДС 550,00 грн.</t>
  </si>
  <si>
    <t xml:space="preserve">инженер предоставлен авансовый отчет о команд.расходах 5400 грн., </t>
  </si>
  <si>
    <t>получены в кассу  наличные 15 000 грн.</t>
  </si>
  <si>
    <t>начислен налог на прибыль по данным налоговой декларации  5000 грн.</t>
  </si>
  <si>
    <t xml:space="preserve">удержан из з/пл. ЕСВ 3,6%           </t>
  </si>
  <si>
    <t xml:space="preserve">удержан из з/пл НДФЛ 15% </t>
  </si>
  <si>
    <t>получена оплата от покупателей 450 000 грн.</t>
  </si>
  <si>
    <t>отргужена готовая продукция по цене продажи 690300 грн.</t>
  </si>
  <si>
    <t>в том числе НДС 115050 грн.</t>
  </si>
  <si>
    <t>перечислен в бюджет: НДС 14500 грн.</t>
  </si>
  <si>
    <t>104  №5</t>
  </si>
  <si>
    <t>131  №5</t>
  </si>
  <si>
    <t xml:space="preserve">реализован станок № 5 по цене 45 000 грн., </t>
  </si>
  <si>
    <t>начислена амортизация основных средств, прямолинейным методом, 20 лет срок службы:  административных - объект № 1</t>
  </si>
  <si>
    <t>131  №2</t>
  </si>
  <si>
    <t>131  №3</t>
  </si>
  <si>
    <t>131  №4</t>
  </si>
  <si>
    <t>НДФЛ 1500 грн.</t>
  </si>
  <si>
    <t>104 №6</t>
  </si>
  <si>
    <t>списывается себестоимость проданной продукции 235000грн.</t>
  </si>
  <si>
    <t>производственных - объект № 2, 4</t>
  </si>
  <si>
    <t>удержаны из зарплаты алименты 775,00 грн.</t>
  </si>
  <si>
    <t>списаны материалы на производство 73000,00 грн.</t>
  </si>
  <si>
    <t>выданны телефонные скретч-карты (админ.) 320,00 грн.</t>
  </si>
  <si>
    <t>списана стоимость подписки на админ.расходы 540,00</t>
  </si>
  <si>
    <t>выдано подотчет на командировочные расходы 5000,00</t>
  </si>
  <si>
    <t>перечислены алименты 775,00</t>
  </si>
  <si>
    <t>признана текущая часть кредита 50000,00</t>
  </si>
  <si>
    <t>выпущена из производства готовая продукция 278637грн.</t>
  </si>
  <si>
    <t>первоначальная стоимость 100 000 грн., выведен из эксплуатации в январе 2013г.</t>
  </si>
  <si>
    <t>торговых - объект № 3</t>
  </si>
  <si>
    <t>Списываются на фин.результаты операционные доходы</t>
  </si>
  <si>
    <t>Списываются на фин.результаты операционные расходы</t>
  </si>
  <si>
    <t>Списываются на фин.результаты финансовые доходы</t>
  </si>
  <si>
    <t>Списываются на фин.результаты финансовые расходы</t>
  </si>
  <si>
    <t>Списываются на фин.результаты прочие доходы</t>
  </si>
  <si>
    <t>Списываются на фин.результаты прочие расходы</t>
  </si>
  <si>
    <t>Оборотно-сальдовая ведомость ООО "Ромашка" за 2014г.</t>
  </si>
  <si>
    <t>начислена курсовая разница по остатку на валют. счете - остаток 6700 дол.США, курс НБУ 7,95грн./дол. на 31.12.14г.</t>
  </si>
  <si>
    <t>удержан военный сбор 1,5%</t>
  </si>
  <si>
    <t>05.01.2014г.  получен кредит банка  на 3 года 180 000 грн.</t>
  </si>
  <si>
    <t>определен финансовый результат деятельности:</t>
  </si>
  <si>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</si>
  <si>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</si>
  <si>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</si>
  <si>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 О Д И</t>
  </si>
  <si>
    <t>Дата (рік, місяць, число)</t>
  </si>
  <si>
    <t>01</t>
  </si>
  <si>
    <t>Підприємство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</si>
  <si>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</si>
  <si>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</si>
  <si>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</si>
  <si>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</si>
  <si>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</si>
  <si>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Вид економічної діяльності</t>
  </si>
  <si>
    <t>за КВЕД</t>
  </si>
  <si>
    <t>Адреса, телефон</t>
  </si>
  <si>
    <t xml:space="preserve">Одиниця виміру: тис. грн. без десяткового знаку (окрім  розділу IV Звіту про фінансові результати (Зві-ту про  сукупний  дохід)  (форма  N  2),  грошові   показники   якого наводяться в гривнях з копійками)
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</si>
  <si>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</si>
  <si>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</si>
  <si>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</si>
  <si>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   Баланс (Звіт про фінансовий стан)</t>
  </si>
  <si>
    <t xml:space="preserve">на </t>
  </si>
  <si>
    <t>Форма №1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</si>
  <si>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</si>
  <si>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</si>
  <si>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</si>
  <si>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</si>
  <si>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</si>
  <si>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 xml:space="preserve">I. Необоротні активи
</t>
  </si>
  <si>
    <t>Нематеріальні активи</t>
  </si>
  <si>
    <t xml:space="preserve">    первісна вартість </t>
  </si>
  <si>
    <t xml:space="preserve">    накопичена амортизація </t>
  </si>
  <si>
    <t>Незавершені капітальні інвестиції</t>
  </si>
  <si>
    <t>Основні засоби</t>
  </si>
  <si>
    <t xml:space="preserve">    знос </t>
  </si>
  <si>
    <t>Інвестиційна нерухомість</t>
  </si>
  <si>
    <t>Довгострокові біологічні активи</t>
  </si>
  <si>
    <t xml:space="preserve">Довгострокові фінансові інвестиції:
</t>
  </si>
  <si>
    <t>які обліковуються за методом участі в капіталі інших підприємств</t>
  </si>
  <si>
    <t xml:space="preserve">інші фінансові інвестиції </t>
  </si>
  <si>
    <t xml:space="preserve">Довгострокова дебіторська заборгованість </t>
  </si>
  <si>
    <t xml:space="preserve">Відстрочені податкові активи </t>
  </si>
  <si>
    <t xml:space="preserve">Інші необоротні активи </t>
  </si>
  <si>
    <t xml:space="preserve">Усього за розділом I </t>
  </si>
  <si>
    <t xml:space="preserve">II. Оборотні активи 
</t>
  </si>
  <si>
    <t>Запаси</t>
  </si>
  <si>
    <t xml:space="preserve">Поточні біологічні активи </t>
  </si>
  <si>
    <t>Дебіторська заборгованість за продукцію, товари, роботи, послуги</t>
  </si>
  <si>
    <t xml:space="preserve">Дебіторська заборгованість за розрахунками:
</t>
  </si>
  <si>
    <t xml:space="preserve">    за виданими авансами</t>
  </si>
  <si>
    <t xml:space="preserve">    з бюджетом</t>
  </si>
  <si>
    <t xml:space="preserve">    у тому числі з податку на прибуток</t>
  </si>
  <si>
    <t xml:space="preserve">Інша поточна дебіторська заборгованість </t>
  </si>
  <si>
    <t xml:space="preserve">Поточні фінансові інвестиції </t>
  </si>
  <si>
    <t xml:space="preserve">Гроші та їх еквіваленти </t>
  </si>
  <si>
    <t>Витрати майбутніх періодів</t>
  </si>
  <si>
    <t xml:space="preserve">Інші оборотні активи </t>
  </si>
  <si>
    <t xml:space="preserve">Усього за розділом II </t>
  </si>
  <si>
    <t>III. Необоротні активи, утримувані для продажу, та групи вибуття</t>
  </si>
  <si>
    <t xml:space="preserve">Баланс </t>
  </si>
  <si>
    <t>Пасив</t>
  </si>
  <si>
    <t xml:space="preserve">I. Власний капітал 
</t>
  </si>
  <si>
    <t xml:space="preserve">Зареєстрований (пайовий) капітал </t>
  </si>
  <si>
    <t>Капітал у дооцінках</t>
  </si>
  <si>
    <t xml:space="preserve">Додатковий капітал </t>
  </si>
  <si>
    <t xml:space="preserve">Резервний капітал </t>
  </si>
  <si>
    <t xml:space="preserve">Нерозподілений прибуток (непокритий збиток) </t>
  </si>
  <si>
    <t xml:space="preserve">Неоплачений капітал </t>
  </si>
  <si>
    <t>(</t>
  </si>
  <si>
    <t>)</t>
  </si>
  <si>
    <t xml:space="preserve">Вилучений капітал </t>
  </si>
  <si>
    <t>Усього за розділом I</t>
  </si>
  <si>
    <t xml:space="preserve">II. Довгострокові зобов’язання і забезпечення
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</si>
  <si>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</si>
  <si>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</si>
  <si>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</si>
  <si>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</si>
  <si>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 xml:space="preserve">Цільове фінансування </t>
  </si>
  <si>
    <t>Усього за розділом II</t>
  </si>
  <si>
    <t xml:space="preserve">IІІ. Поточні зобов’язання і забезпечення
</t>
  </si>
  <si>
    <t xml:space="preserve">Короткострокові кредити банків </t>
  </si>
  <si>
    <t xml:space="preserve">Поточна кредиторська заборгованість за:
</t>
  </si>
  <si>
    <t xml:space="preserve">    довгостроковими зобов’язаннями </t>
  </si>
  <si>
    <t xml:space="preserve">    товари, роботи, послуги </t>
  </si>
  <si>
    <t xml:space="preserve">    розрахунками з бюджетом</t>
  </si>
  <si>
    <t xml:space="preserve">    розрахунками зі страхування</t>
  </si>
  <si>
    <t xml:space="preserve">    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</si>
  <si>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</si>
  <si>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</si>
  <si>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</si>
  <si>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</si>
  <si>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
утримуваними для продажу, та групами вибуття
</t>
  </si>
  <si>
    <t>Керівник</t>
  </si>
  <si>
    <t>Головний бухгалтер</t>
  </si>
  <si>
    <t xml:space="preserve">¹ Визначається в порядку, встановленому центральним органом
 виконавчої влади, що реалізує державну політику у сфері статистики.
</t>
  </si>
  <si>
    <t>Середня кількість працівників¹</t>
  </si>
  <si>
    <t>(найменування)</t>
  </si>
  <si>
    <t>Звіт про фінансові результати (Звіт про сукупний дохід)</t>
  </si>
  <si>
    <t>за</t>
  </si>
  <si>
    <t>р.</t>
  </si>
  <si>
    <t>Стаття</t>
  </si>
  <si>
    <t>За звітний період</t>
  </si>
  <si>
    <t>Витрати на збут</t>
  </si>
  <si>
    <t>Витрати (дохід) з податку на прибуток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</si>
  <si>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</si>
  <si>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</si>
  <si>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</si>
  <si>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</si>
  <si>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</si>
  <si>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</si>
  <si>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</si>
  <si>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</si>
  <si>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</si>
  <si>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</si>
  <si>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</si>
  <si>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</si>
  <si>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</si>
  <si>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</si>
  <si>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</si>
  <si>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</si>
  <si>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</si>
  <si>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Звіт про рух грошових коштів (за прямим методом)</t>
  </si>
  <si>
    <t>за 20__ р.</t>
  </si>
  <si>
    <t>Реалізації продукції (товарів, робіт, послуг)</t>
  </si>
  <si>
    <t>у тому числі податку на додану вартість</t>
  </si>
  <si>
    <t>Витрачання на оплату:</t>
  </si>
  <si>
    <t>Товарів (робіт, послуг)</t>
  </si>
  <si>
    <t>Праці</t>
  </si>
  <si>
    <t>Чистий рух коштів від операційної діяльності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</si>
  <si>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</si>
  <si>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</si>
  <si>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</si>
  <si>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</si>
  <si>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</si>
  <si>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</si>
  <si>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Виплати за деривативами</t>
  </si>
  <si>
    <t>Інші платежі</t>
  </si>
  <si>
    <t>Чистий рух коштів від інвестиційної діяльності</t>
  </si>
  <si>
    <t>Отримання позик</t>
  </si>
  <si>
    <t>Витрачання на:</t>
  </si>
  <si>
    <t>Викуп власних акцій</t>
  </si>
  <si>
    <t>Звіт про рух грошових коштів (за непрямим методом)</t>
  </si>
  <si>
    <t>надходження</t>
  </si>
  <si>
    <t>видаток</t>
  </si>
  <si>
    <t>Х</t>
  </si>
  <si>
    <t>Зменшення (збільшення) оборотних активів</t>
  </si>
  <si>
    <t>Грошові кошти від операційної діяльності</t>
  </si>
  <si>
    <t>Сплачений податок на прибуток</t>
  </si>
  <si>
    <t>Всього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</si>
  <si>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</si>
  <si>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</si>
  <si>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</si>
  <si>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</si>
  <si>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</si>
  <si>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Спрямування прибутку до зареєстрованого капіталу</t>
  </si>
  <si>
    <t>Відрахування до резервного капіталу</t>
  </si>
  <si>
    <t>Погашення заборгованості з капіталу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</si>
  <si>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</si>
  <si>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</si>
  <si>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</si>
  <si>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</si>
  <si>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</si>
  <si>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КОДИ</t>
  </si>
  <si>
    <t>Форма N 2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</si>
  <si>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</si>
  <si>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</si>
  <si>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</si>
  <si>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</si>
  <si>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</si>
  <si>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</si>
  <si>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</si>
  <si>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</si>
  <si>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</si>
  <si>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</si>
  <si>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</si>
  <si>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</si>
  <si>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</si>
  <si>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</si>
  <si>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</si>
  <si>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</si>
  <si>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Прибуток (збиток) від припиненої діяльності після оподаткування</t>
  </si>
  <si>
    <t>Чистий фінансовий результат:</t>
  </si>
  <si>
    <t>Податок на прибуток, пов'язаний з іншим сукупним доходом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</si>
  <si>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</si>
  <si>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</si>
  <si>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</si>
  <si>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</si>
  <si>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</si>
  <si>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</si>
  <si>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Форма N 3-н</t>
  </si>
  <si>
    <t>І. Рух коштів у результаті операційної діяльності</t>
  </si>
  <si>
    <t>Прибуток (збиток) від звичайної діяльності до оподаткування</t>
  </si>
  <si>
    <t>Коригування на:</t>
  </si>
  <si>
    <t>амортизацію необоротних активів</t>
  </si>
  <si>
    <t>збільшення (зменшення) забезпечень</t>
  </si>
  <si>
    <t>збиток (прибуток) від нереалізованих курсових різниць</t>
  </si>
  <si>
    <t>збиток (прибуток) від неопераційної діяльності та інших негрошових операцій</t>
  </si>
  <si>
    <t>Збільшення (зменшення) поточних зобов'язань</t>
  </si>
  <si>
    <t>II. Рух коштів у результаті інвестиційної діяльності</t>
  </si>
  <si>
    <t>Надходження від реалізації:</t>
  </si>
  <si>
    <t>Інші надходження</t>
  </si>
  <si>
    <t>Витрачання на придбання:</t>
  </si>
  <si>
    <t>III. Рух коштів у результаті фінансової діяльності</t>
  </si>
  <si>
    <t>Надходження від:</t>
  </si>
  <si>
    <t>Власного капіталу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</si>
  <si>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</si>
  <si>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</si>
  <si>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</si>
  <si>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</si>
  <si>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</si>
  <si>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</si>
  <si>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</si>
  <si>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Повернення податків і зборів</t>
  </si>
  <si>
    <t>Цільового фінансування</t>
  </si>
  <si>
    <t>Відрахувань на соціальні заходи</t>
  </si>
  <si>
    <t>Зобов'язань з податків і зборів</t>
  </si>
  <si>
    <t>Інші витрачання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</si>
  <si>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</si>
  <si>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</si>
  <si>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</si>
  <si>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</si>
  <si>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Звіт про власний капітал</t>
  </si>
  <si>
    <t xml:space="preserve"> р.</t>
  </si>
  <si>
    <t>Форма N 4</t>
  </si>
  <si>
    <t>Зареєстро-
ваний (пайовий) капітал</t>
  </si>
  <si>
    <t>Капітал у дооцін-
ках</t>
  </si>
  <si>
    <t>Додатко-
вий капітал</t>
  </si>
  <si>
    <t>Резерв-
ний капітал</t>
  </si>
  <si>
    <t>Нерозпо-
ділений прибуток (непокри-
тий збиток)</t>
  </si>
  <si>
    <t>Неопла-
чений капітал</t>
  </si>
  <si>
    <t>Вилу-
чений капітал</t>
  </si>
  <si>
    <t>Залишок</t>
  </si>
  <si>
    <t>на початок року</t>
  </si>
  <si>
    <t>Коригування:</t>
  </si>
  <si>
    <t>Зміна облікової політики</t>
  </si>
  <si>
    <t>4100</t>
  </si>
  <si>
    <t>Розподіл прибутку:</t>
  </si>
  <si>
    <t>Виплати власникам (дивіденди)</t>
  </si>
  <si>
    <t>Внески учасників:</t>
  </si>
  <si>
    <t>Внески до капіталу</t>
  </si>
  <si>
    <t>Вилучення капіталу:</t>
  </si>
  <si>
    <t>Викуп акцій (часток)</t>
  </si>
  <si>
    <t>Зменшення номінальної вартості акцій</t>
  </si>
  <si>
    <t>4280</t>
  </si>
  <si>
    <t>на кінець року</t>
  </si>
  <si>
    <t>Кредит  311</t>
  </si>
  <si>
    <t>Дебет  311</t>
  </si>
  <si>
    <t>6413</t>
  </si>
  <si>
    <t>651</t>
  </si>
  <si>
    <t>Дебет  301</t>
  </si>
  <si>
    <t>Кредит  301</t>
  </si>
  <si>
    <t>С.</t>
  </si>
  <si>
    <t>Дебет  312</t>
  </si>
  <si>
    <t>Кредит  312</t>
  </si>
  <si>
    <t>Дебет  313</t>
  </si>
  <si>
    <t>Кредит  313</t>
  </si>
  <si>
    <t>перечислена оплата за оборудование 15 000 грн.</t>
  </si>
  <si>
    <t xml:space="preserve">приобретены телефонные скретч-карточки через подотчетное лицо 300,00 грн. </t>
  </si>
  <si>
    <t>балансовая стоимость 20 000 грн.</t>
  </si>
  <si>
    <t>учредители погасили задолженность по взносу в уставный капитал 400 000 грн. ден. средствами</t>
  </si>
  <si>
    <t xml:space="preserve">                       </t>
  </si>
  <si>
    <t>предыдущая дооценка 145 000</t>
  </si>
  <si>
    <t>объект № 4 - справедливая стоимость 1 620 000грн.</t>
  </si>
  <si>
    <t>списаны на себестоимость общепроизводственные расходы 311 198,00 грн.</t>
  </si>
  <si>
    <t>проведена переоценка осн.средств по состоянию на 01.01.2015г.</t>
  </si>
  <si>
    <t>налоговая накладная - НДС 7 050 грн.</t>
  </si>
  <si>
    <t>налоговая накладная - НДС 3 000 грн.</t>
  </si>
  <si>
    <t>налоговая накладная - НДС 150 грн.</t>
  </si>
  <si>
    <t xml:space="preserve">налоговая накладная - НДС 120 грн. </t>
  </si>
  <si>
    <t xml:space="preserve">налоговая накладная не получена </t>
  </si>
  <si>
    <t>налоговая накладная - НДС 60,00 грн.</t>
  </si>
  <si>
    <t>налоговая накладная - НДС 100,00 грн.</t>
  </si>
  <si>
    <t>объявлены дивиденды 15 000 грн.</t>
  </si>
  <si>
    <t>31 грудня</t>
  </si>
  <si>
    <t>Додаток 1
до Положення (стандарту) бухгалтерського обліку 
25 "Фінансовий звіт суб'єкта малого підприємництва"</t>
  </si>
  <si>
    <t>ФІНАНСОВИЙ ЗВІТ</t>
  </si>
  <si>
    <t xml:space="preserve">суб'єкта малого підприємництва </t>
  </si>
  <si>
    <t>Організаційно-правова
форма господарювання</t>
  </si>
  <si>
    <t>Середня кількість працівників, осіб</t>
  </si>
  <si>
    <t>Одиниця виміру: тис. грн. з одним десятковим знаком</t>
  </si>
  <si>
    <t xml:space="preserve">Адреса, телефон </t>
  </si>
  <si>
    <t>1. Баланс</t>
  </si>
  <si>
    <t>Форма N 1-м</t>
  </si>
  <si>
    <t xml:space="preserve">Код за ДКУД </t>
  </si>
  <si>
    <t>на ____________ 20__ р.</t>
  </si>
  <si>
    <t>Код
рядка</t>
  </si>
  <si>
    <t>На початок звітного року</t>
  </si>
  <si>
    <t>На кінець звітного 
періоду</t>
  </si>
  <si>
    <t>2</t>
  </si>
  <si>
    <t>I. Необоротні активи</t>
  </si>
  <si>
    <t>1005</t>
  </si>
  <si>
    <t>Основні засоби:</t>
  </si>
  <si>
    <t>1010</t>
  </si>
  <si>
    <t>первісна вартість</t>
  </si>
  <si>
    <t>1011</t>
  </si>
  <si>
    <t>знос</t>
  </si>
  <si>
    <t>1012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</si>
  <si>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</si>
  <si>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</si>
  <si>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</si>
  <si>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</si>
  <si>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</si>
  <si>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1095</t>
  </si>
  <si>
    <t>II. Оборотні активи</t>
  </si>
  <si>
    <t>Запаси: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</si>
  <si>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</si>
  <si>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</si>
  <si>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</si>
  <si>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</si>
  <si>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</si>
  <si>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</si>
  <si>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</si>
  <si>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</si>
  <si>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</si>
  <si>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</si>
  <si>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</si>
  <si>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</si>
  <si>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</si>
  <si>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</si>
  <si>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</si>
  <si>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</si>
  <si>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</si>
  <si>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1170</t>
  </si>
  <si>
    <t>Інші оборотні активи</t>
  </si>
  <si>
    <t>1190</t>
  </si>
  <si>
    <t>1195</t>
  </si>
  <si>
    <t>III. Необоротні активи, утримувані для продажу, та 
групи вибуття</t>
  </si>
  <si>
    <t>1200</t>
  </si>
  <si>
    <t>Баланс</t>
  </si>
  <si>
    <t>1300</t>
  </si>
  <si>
    <t>I. Власний капітал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</si>
  <si>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</si>
  <si>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</si>
  <si>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</si>
  <si>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</si>
  <si>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</si>
  <si>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</si>
  <si>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</si>
  <si>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</si>
  <si>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</si>
  <si>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</si>
  <si>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(                                )</t>
  </si>
  <si>
    <t>(                                     )</t>
  </si>
  <si>
    <t>1495</t>
  </si>
  <si>
    <t>II. Довгострокові зобов'язання, цільове фінансування
та забезпечення</t>
  </si>
  <si>
    <t>1595</t>
  </si>
  <si>
    <t>III. Поточні зобов'язання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</si>
  <si>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</si>
  <si>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</si>
  <si>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</si>
  <si>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</si>
  <si>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</si>
  <si>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</si>
  <si>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</si>
  <si>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</si>
  <si>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</si>
  <si>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 xml:space="preserve">  у тому числі з податку на прибуток</t>
  </si>
  <si>
    <t>1621</t>
  </si>
  <si>
    <t>розрахунками зі страхування</t>
  </si>
  <si>
    <t>1625</t>
  </si>
  <si>
    <t>розрахунками з оплати праці</t>
  </si>
  <si>
    <t>1630</t>
  </si>
  <si>
    <t>1665</t>
  </si>
  <si>
    <t>Інші поточні зобов'язання</t>
  </si>
  <si>
    <t>1690</t>
  </si>
  <si>
    <t>Усього за розділом III</t>
  </si>
  <si>
    <t>1695</t>
  </si>
  <si>
    <t>IV. Зобов'язання, пов'язані з необоротними активами, утримуваними для продажу, та групами вибуття</t>
  </si>
  <si>
    <t>1700</t>
  </si>
  <si>
    <t>1900</t>
  </si>
  <si>
    <t>2. Звіт про фінансові результати</t>
  </si>
  <si>
    <r>
      <t>за ____________ 20__ р.</t>
    </r>
    <r>
      <rPr>
        <sz val="10"/>
        <rFont val="Times New Roman"/>
        <family val="1"/>
      </rPr>
      <t xml:space="preserve"> </t>
    </r>
  </si>
  <si>
    <t xml:space="preserve">Форма N 2-м </t>
  </si>
  <si>
    <t>Код за ДКУД  </t>
  </si>
  <si>
    <t>За аналогічний 
період 
попереднього року</t>
  </si>
  <si>
    <t>Чистий дохід від реалізації продукції (товарів, робіт, 
послуг)</t>
  </si>
  <si>
    <t>2000</t>
  </si>
  <si>
    <t>2120</t>
  </si>
  <si>
    <t>2240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</si>
  <si>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</si>
  <si>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t>2280</t>
  </si>
  <si>
    <t>2050</t>
  </si>
  <si>
    <t>2180</t>
  </si>
  <si>
    <t>2270</t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</si>
  <si>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</si>
  <si>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t>2285</t>
  </si>
  <si>
    <r>
      <t>Фінансовий результат до оподаткування (</t>
    </r>
    <r>
      <rPr>
        <sz val="10"/>
        <color indexed="17"/>
        <rFont val="Times New Roman"/>
        <family val="1"/>
      </rPr>
      <t>2280</t>
    </r>
    <r>
      <rPr>
        <sz val="10"/>
        <rFont val="Times New Roman"/>
        <family val="1"/>
      </rPr>
      <t xml:space="preserve"> - 2285)</t>
    </r>
  </si>
  <si>
    <t>2290</t>
  </si>
  <si>
    <t>Податок на прибуток</t>
  </si>
  <si>
    <t>2300</t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</si>
  <si>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</si>
  <si>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2350</t>
  </si>
  <si>
    <t>(підпис)</t>
  </si>
  <si>
    <t>(ініціали, прізвище)</t>
  </si>
  <si>
    <t xml:space="preserve">                                 продавцам  15 000 грн.</t>
  </si>
  <si>
    <t>313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</si>
</sst>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###0.0;###0.0;0.0;[Red]\Н\е\в\е\р\н\о\е\ \З\н\а\ч\е\н\и\е"/>
    <numFmt numFmtId="166" formatCode="####;###0.00;0.00;[Red]\Н\е\в\е\р\н\о\е\ \З\н\а\ч\е\н\и\е"/>
    <numFmt numFmtId="167" formatCode="#,##0_р_."/>
    <numFmt numFmtId="168" formatCode="####0;###0;0;[Red]\Н\е\в\е\р\н\о\е\ \З\н\а\ч\е\н\и\е"/>
    <numFmt numFmtId="169" formatCode="0.0"/>
    <numFmt numFmtId="170" formatCode="#,##0.00&quot;р.&quot;"/>
  </numFmts>
  <fonts count="29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sz val="8"/>
      <color indexed="17"/>
      <name val="Tahoma"/>
      <family val="2"/>
    </font>
    <font>
      <sz val="9"/>
      <name val="Tahoma"/>
      <family val="2"/>
    </font>
    <font>
      <b/>
      <sz val="11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2" fillId="0" borderId="9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49" fontId="9" fillId="0" borderId="0" xfId="0" applyNumberFormat="1" applyFont="1" applyAlignment="1">
      <alignment horizontal="justify" vertical="center"/>
    </xf>
    <xf numFmtId="49" fontId="0" fillId="0" borderId="0" xfId="0" applyNumberFormat="1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0" fillId="0" borderId="0" xfId="0" applyNumberFormat="1" applyFill="1" applyAlignment="1">
      <alignment/>
    </xf>
    <xf numFmtId="0" fontId="10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/>
    </xf>
    <xf numFmtId="1" fontId="13" fillId="0" borderId="14" xfId="0" applyNumberFormat="1" applyFont="1" applyFill="1" applyBorder="1" applyAlignment="1">
      <alignment vertical="center" wrapText="1"/>
    </xf>
    <xf numFmtId="1" fontId="13" fillId="0" borderId="13" xfId="0" applyNumberFormat="1" applyFont="1" applyFill="1" applyBorder="1" applyAlignment="1">
      <alignment vertical="center" wrapText="1"/>
    </xf>
    <xf numFmtId="1" fontId="0" fillId="0" borderId="12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13" fillId="0" borderId="12" xfId="0" applyNumberFormat="1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vertical="center" wrapText="1"/>
    </xf>
    <xf numFmtId="1" fontId="0" fillId="0" borderId="16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13" fillId="0" borderId="16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8" fillId="0" borderId="11" xfId="0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167" fontId="2" fillId="0" borderId="18" xfId="0" applyNumberFormat="1" applyFont="1" applyBorder="1" applyAlignment="1">
      <alignment/>
    </xf>
    <xf numFmtId="167" fontId="2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 horizontal="left"/>
    </xf>
    <xf numFmtId="167" fontId="2" fillId="0" borderId="8" xfId="0" applyNumberFormat="1" applyFont="1" applyBorder="1" applyAlignment="1">
      <alignment/>
    </xf>
    <xf numFmtId="167" fontId="2" fillId="0" borderId="5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167" fontId="2" fillId="0" borderId="5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49" fontId="4" fillId="0" borderId="8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2" fillId="0" borderId="2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justify" wrapText="1"/>
    </xf>
    <xf numFmtId="49" fontId="8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9" fillId="0" borderId="2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vertical="center" wrapText="1"/>
    </xf>
    <xf numFmtId="1" fontId="13" fillId="0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41" fontId="2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vertical="center" wrapText="1"/>
    </xf>
    <xf numFmtId="41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41" fontId="26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1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3" xfId="0" applyFont="1" applyFill="1" applyBorder="1" applyAlignment="1">
      <alignment vertical="top" wrapText="1"/>
    </xf>
    <xf numFmtId="41" fontId="2" fillId="0" borderId="2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/>
    </xf>
    <xf numFmtId="0" fontId="1" fillId="4" borderId="7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/>
    </xf>
    <xf numFmtId="164" fontId="2" fillId="4" borderId="8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0" fontId="9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" fontId="9" fillId="0" borderId="27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vertical="center" wrapText="1"/>
    </xf>
    <xf numFmtId="168" fontId="9" fillId="0" borderId="11" xfId="0" applyNumberFormat="1" applyFont="1" applyFill="1" applyBorder="1" applyAlignment="1">
      <alignment horizontal="center"/>
    </xf>
    <xf numFmtId="168" fontId="9" fillId="0" borderId="32" xfId="0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168" fontId="9" fillId="0" borderId="22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4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168" fontId="12" fillId="0" borderId="35" xfId="0" applyNumberFormat="1" applyFont="1" applyFill="1" applyBorder="1" applyAlignment="1">
      <alignment horizontal="center"/>
    </xf>
    <xf numFmtId="168" fontId="12" fillId="0" borderId="36" xfId="0" applyNumberFormat="1" applyFont="1" applyFill="1" applyBorder="1" applyAlignment="1">
      <alignment horizontal="center"/>
    </xf>
    <xf numFmtId="168" fontId="12" fillId="0" borderId="37" xfId="0" applyNumberFormat="1" applyFont="1" applyFill="1" applyBorder="1" applyAlignment="1">
      <alignment horizontal="center"/>
    </xf>
    <xf numFmtId="168" fontId="12" fillId="0" borderId="38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32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68" fontId="12" fillId="0" borderId="11" xfId="0" applyNumberFormat="1" applyFont="1" applyFill="1" applyBorder="1" applyAlignment="1">
      <alignment horizontal="center"/>
    </xf>
    <xf numFmtId="168" fontId="12" fillId="0" borderId="3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2" fillId="0" borderId="22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1" fontId="9" fillId="0" borderId="26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166" fontId="9" fillId="0" borderId="32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 vertical="top"/>
    </xf>
    <xf numFmtId="0" fontId="9" fillId="0" borderId="43" xfId="0" applyFont="1" applyFill="1" applyBorder="1" applyAlignment="1">
      <alignment horizontal="center" vertical="top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168" fontId="18" fillId="0" borderId="11" xfId="0" applyNumberFormat="1" applyFont="1" applyFill="1" applyBorder="1" applyAlignment="1">
      <alignment horizontal="center"/>
    </xf>
    <xf numFmtId="168" fontId="18" fillId="0" borderId="32" xfId="0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/>
    </xf>
    <xf numFmtId="168" fontId="18" fillId="0" borderId="22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8" xfId="0" applyFont="1" applyFill="1" applyBorder="1" applyAlignment="1">
      <alignment horizontal="center"/>
    </xf>
    <xf numFmtId="6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left" vertical="center" wrapText="1" indent="1"/>
    </xf>
    <xf numFmtId="0" fontId="9" fillId="3" borderId="3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0" fillId="3" borderId="12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 wrapText="1" indent="1"/>
    </xf>
    <xf numFmtId="49" fontId="9" fillId="0" borderId="28" xfId="0" applyNumberFormat="1" applyFont="1" applyBorder="1" applyAlignment="1">
      <alignment horizontal="left" vertical="center" wrapText="1" indent="1"/>
    </xf>
    <xf numFmtId="49" fontId="9" fillId="0" borderId="15" xfId="0" applyNumberFormat="1" applyFont="1" applyBorder="1" applyAlignment="1">
      <alignment horizontal="left" vertical="center" wrapText="1" indent="1"/>
    </xf>
    <xf numFmtId="49" fontId="9" fillId="0" borderId="49" xfId="0" applyNumberFormat="1" applyFont="1" applyBorder="1" applyAlignment="1">
      <alignment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/>
    </xf>
    <xf numFmtId="49" fontId="9" fillId="0" borderId="49" xfId="0" applyNumberFormat="1" applyFont="1" applyBorder="1" applyAlignment="1">
      <alignment horizontal="justify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center" vertical="center"/>
    </xf>
    <xf numFmtId="0" fontId="0" fillId="3" borderId="32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9" fontId="9" fillId="0" borderId="0" xfId="0" applyNumberFormat="1" applyFont="1" applyAlignment="1">
      <alignment horizontal="justify" vertical="center"/>
    </xf>
    <xf numFmtId="49" fontId="9" fillId="0" borderId="0" xfId="0" applyNumberFormat="1" applyFont="1" applyAlignment="1">
      <alignment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32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center" wrapText="1" indent="1"/>
    </xf>
    <xf numFmtId="49" fontId="9" fillId="0" borderId="32" xfId="0" applyNumberFormat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left" vertical="center" wrapText="1" indent="1"/>
    </xf>
    <xf numFmtId="1" fontId="9" fillId="0" borderId="32" xfId="0" applyNumberFormat="1" applyFont="1" applyBorder="1" applyAlignment="1">
      <alignment horizontal="center" wrapText="1"/>
    </xf>
    <xf numFmtId="49" fontId="27" fillId="5" borderId="12" xfId="0" applyNumberFormat="1" applyFont="1" applyFill="1" applyBorder="1" applyAlignment="1">
      <alignment vertical="center" wrapText="1"/>
    </xf>
    <xf numFmtId="49" fontId="27" fillId="5" borderId="14" xfId="0" applyNumberFormat="1" applyFont="1" applyFill="1" applyBorder="1" applyAlignment="1">
      <alignment vertical="center" wrapText="1"/>
    </xf>
    <xf numFmtId="49" fontId="27" fillId="5" borderId="13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left" vertical="center" wrapText="1" indent="1"/>
    </xf>
    <xf numFmtId="49" fontId="9" fillId="0" borderId="28" xfId="0" applyNumberFormat="1" applyFont="1" applyFill="1" applyBorder="1" applyAlignment="1">
      <alignment horizontal="left" vertical="center" wrapText="1" indent="1"/>
    </xf>
    <xf numFmtId="49" fontId="9" fillId="0" borderId="15" xfId="0" applyNumberFormat="1" applyFont="1" applyFill="1" applyBorder="1" applyAlignment="1">
      <alignment horizontal="left" vertical="center" wrapText="1" indent="1"/>
    </xf>
    <xf numFmtId="49" fontId="9" fillId="0" borderId="49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48" xfId="0" applyNumberFormat="1" applyFont="1" applyFill="1" applyBorder="1" applyAlignment="1">
      <alignment horizontal="left" vertical="center" wrapText="1" indent="1"/>
    </xf>
    <xf numFmtId="1" fontId="9" fillId="0" borderId="12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center" wrapText="1"/>
    </xf>
    <xf numFmtId="1" fontId="9" fillId="0" borderId="16" xfId="0" applyNumberFormat="1" applyFont="1" applyBorder="1" applyAlignment="1">
      <alignment horizontal="center" wrapText="1"/>
    </xf>
    <xf numFmtId="1" fontId="9" fillId="0" borderId="28" xfId="0" applyNumberFormat="1" applyFont="1" applyBorder="1" applyAlignment="1">
      <alignment horizontal="center" wrapText="1"/>
    </xf>
    <xf numFmtId="1" fontId="9" fillId="0" borderId="15" xfId="0" applyNumberFormat="1" applyFont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left" vertical="center" wrapText="1" inden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49" fontId="27" fillId="5" borderId="30" xfId="0" applyNumberFormat="1" applyFont="1" applyFill="1" applyBorder="1" applyAlignment="1">
      <alignment vertical="center" wrapText="1"/>
    </xf>
    <xf numFmtId="49" fontId="27" fillId="5" borderId="0" xfId="0" applyNumberFormat="1" applyFont="1" applyFill="1" applyBorder="1" applyAlignment="1">
      <alignment vertical="center" wrapText="1"/>
    </xf>
    <xf numFmtId="49" fontId="27" fillId="5" borderId="26" xfId="0" applyNumberFormat="1" applyFont="1" applyFill="1" applyBorder="1" applyAlignment="1">
      <alignment vertical="center" wrapText="1"/>
    </xf>
    <xf numFmtId="49" fontId="12" fillId="0" borderId="49" xfId="0" applyNumberFormat="1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7" fontId="9" fillId="0" borderId="32" xfId="0" applyNumberFormat="1" applyFont="1" applyBorder="1" applyAlignment="1">
      <alignment horizontal="center" wrapText="1"/>
    </xf>
    <xf numFmtId="49" fontId="9" fillId="0" borderId="48" xfId="0" applyNumberFormat="1" applyFont="1" applyFill="1" applyBorder="1" applyAlignment="1">
      <alignment vertical="center" wrapText="1"/>
    </xf>
    <xf numFmtId="167" fontId="9" fillId="0" borderId="14" xfId="0" applyNumberFormat="1" applyFont="1" applyBorder="1" applyAlignment="1">
      <alignment horizontal="center" wrapText="1"/>
    </xf>
    <xf numFmtId="49" fontId="9" fillId="0" borderId="16" xfId="0" applyNumberFormat="1" applyFont="1" applyFill="1" applyBorder="1" applyAlignment="1">
      <alignment vertical="center" wrapText="1"/>
    </xf>
    <xf numFmtId="49" fontId="9" fillId="0" borderId="28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vertical="center" wrapText="1"/>
    </xf>
    <xf numFmtId="1" fontId="9" fillId="0" borderId="2" xfId="0" applyNumberFormat="1" applyFont="1" applyBorder="1" applyAlignment="1">
      <alignment horizontal="center" wrapText="1"/>
    </xf>
    <xf numFmtId="49" fontId="9" fillId="0" borderId="48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67" fontId="9" fillId="0" borderId="12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vertical="center" wrapText="1"/>
    </xf>
    <xf numFmtId="49" fontId="9" fillId="0" borderId="28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8" fillId="0" borderId="3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32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67" fontId="9" fillId="0" borderId="1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3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vertical="center" wrapText="1"/>
    </xf>
    <xf numFmtId="1" fontId="12" fillId="3" borderId="2" xfId="0" applyNumberFormat="1" applyFont="1" applyFill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0" fillId="0" borderId="2" xfId="0" applyNumberForma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left" vertical="center" wrapText="1" indent="1"/>
    </xf>
    <xf numFmtId="49" fontId="9" fillId="0" borderId="32" xfId="0" applyNumberFormat="1" applyFont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left" vertical="center" wrapText="1" indent="1"/>
    </xf>
    <xf numFmtId="49" fontId="9" fillId="0" borderId="11" xfId="0" applyNumberFormat="1" applyFont="1" applyBorder="1" applyAlignment="1">
      <alignment horizontal="left" vertical="top" wrapText="1" indent="1"/>
    </xf>
    <xf numFmtId="49" fontId="9" fillId="0" borderId="32" xfId="0" applyNumberFormat="1" applyFont="1" applyBorder="1" applyAlignment="1">
      <alignment horizontal="left" vertical="top" wrapText="1" indent="1"/>
    </xf>
    <xf numFmtId="49" fontId="9" fillId="0" borderId="1" xfId="0" applyNumberFormat="1" applyFont="1" applyBorder="1" applyAlignment="1">
      <alignment horizontal="left" vertical="top" wrapText="1" inden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32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12" fillId="0" borderId="49" xfId="0" applyNumberFormat="1" applyFont="1" applyBorder="1" applyAlignment="1">
      <alignment vertical="center" wrapText="1"/>
    </xf>
    <xf numFmtId="49" fontId="9" fillId="0" borderId="23" xfId="0" applyNumberFormat="1" applyFont="1" applyBorder="1" applyAlignment="1">
      <alignment horizontal="left" vertical="center" wrapText="1" indent="1"/>
    </xf>
    <xf numFmtId="0" fontId="0" fillId="0" borderId="1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9" fillId="0" borderId="23" xfId="0" applyNumberFormat="1" applyFont="1" applyBorder="1" applyAlignment="1">
      <alignment vertical="center" wrapText="1"/>
    </xf>
    <xf numFmtId="49" fontId="9" fillId="0" borderId="48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1" fontId="9" fillId="0" borderId="3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vertical="center" wrapText="1"/>
    </xf>
    <xf numFmtId="49" fontId="12" fillId="0" borderId="28" xfId="0" applyNumberFormat="1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vertical="top" wrapText="1"/>
    </xf>
    <xf numFmtId="49" fontId="13" fillId="0" borderId="28" xfId="0" applyNumberFormat="1" applyFont="1" applyFill="1" applyBorder="1" applyAlignment="1">
      <alignment vertical="top" wrapText="1"/>
    </xf>
    <xf numFmtId="49" fontId="13" fillId="0" borderId="15" xfId="0" applyNumberFormat="1" applyFont="1" applyFill="1" applyBorder="1" applyAlignment="1">
      <alignment vertical="top" wrapText="1"/>
    </xf>
    <xf numFmtId="49" fontId="13" fillId="0" borderId="23" xfId="0" applyNumberFormat="1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vertical="top" wrapText="1"/>
    </xf>
    <xf numFmtId="49" fontId="14" fillId="0" borderId="13" xfId="0" applyNumberFormat="1" applyFont="1" applyFill="1" applyBorder="1" applyAlignment="1">
      <alignment vertical="top" wrapText="1"/>
    </xf>
    <xf numFmtId="1" fontId="13" fillId="0" borderId="14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1" fontId="0" fillId="0" borderId="28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  <xf numFmtId="49" fontId="10" fillId="0" borderId="28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49" fontId="13" fillId="0" borderId="48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top" wrapText="1"/>
    </xf>
    <xf numFmtId="49" fontId="14" fillId="0" borderId="49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23" fillId="0" borderId="14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28" xfId="0" applyNumberFormat="1" applyFont="1" applyBorder="1" applyAlignment="1">
      <alignment/>
    </xf>
    <xf numFmtId="49" fontId="8" fillId="0" borderId="28" xfId="0" applyNumberFormat="1" applyFont="1" applyBorder="1" applyAlignment="1">
      <alignment/>
    </xf>
    <xf numFmtId="49" fontId="20" fillId="0" borderId="11" xfId="0" applyNumberFormat="1" applyFont="1" applyBorder="1" applyAlignment="1">
      <alignment wrapText="1"/>
    </xf>
    <xf numFmtId="49" fontId="8" fillId="0" borderId="32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49" fontId="20" fillId="2" borderId="2" xfId="0" applyNumberFormat="1" applyFont="1" applyFill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0" fillId="0" borderId="32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wrapText="1"/>
    </xf>
    <xf numFmtId="1" fontId="8" fillId="0" borderId="11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wrapText="1"/>
    </xf>
    <xf numFmtId="49" fontId="20" fillId="0" borderId="2" xfId="0" applyNumberFormat="1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left" wrapText="1" indent="1"/>
    </xf>
    <xf numFmtId="49" fontId="8" fillId="0" borderId="32" xfId="0" applyNumberFormat="1" applyFont="1" applyBorder="1" applyAlignment="1">
      <alignment horizontal="left" wrapText="1" indent="1"/>
    </xf>
    <xf numFmtId="49" fontId="8" fillId="0" borderId="1" xfId="0" applyNumberFormat="1" applyFont="1" applyBorder="1" applyAlignment="1">
      <alignment horizontal="left" wrapText="1" indent="1"/>
    </xf>
    <xf numFmtId="49" fontId="8" fillId="0" borderId="2" xfId="0" applyNumberFormat="1" applyFont="1" applyBorder="1" applyAlignment="1">
      <alignment horizontal="left" wrapText="1" indent="1"/>
    </xf>
    <xf numFmtId="49" fontId="8" fillId="0" borderId="2" xfId="0" applyNumberFormat="1" applyFont="1" applyBorder="1" applyAlignment="1">
      <alignment horizontal="left" wrapText="1" indent="2"/>
    </xf>
    <xf numFmtId="49" fontId="8" fillId="0" borderId="16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15" xfId="0" applyNumberFormat="1" applyFont="1" applyBorder="1" applyAlignment="1">
      <alignment horizontal="left" wrapText="1" indent="1"/>
    </xf>
    <xf numFmtId="49" fontId="8" fillId="0" borderId="16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 wrapText="1"/>
    </xf>
    <xf numFmtId="49" fontId="20" fillId="0" borderId="32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49" fontId="20" fillId="0" borderId="11" xfId="0" applyNumberFormat="1" applyFont="1" applyBorder="1" applyAlignment="1">
      <alignment vertical="center" wrapText="1"/>
    </xf>
    <xf numFmtId="49" fontId="20" fillId="0" borderId="32" xfId="0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justify" wrapText="1"/>
    </xf>
    <xf numFmtId="49" fontId="8" fillId="0" borderId="32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87</xdr:row>
      <xdr:rowOff>0</xdr:rowOff>
    </xdr:from>
    <xdr:to>
      <xdr:col>68</xdr:col>
      <xdr:colOff>9525</xdr:colOff>
      <xdr:row>88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85750" y="14382750"/>
          <a:ext cx="6200775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94</xdr:row>
      <xdr:rowOff>161925</xdr:rowOff>
    </xdr:from>
    <xdr:to>
      <xdr:col>68</xdr:col>
      <xdr:colOff>0</xdr:colOff>
      <xdr:row>96</xdr:row>
      <xdr:rowOff>142875</xdr:rowOff>
    </xdr:to>
    <xdr:grpSp>
      <xdr:nvGrpSpPr>
        <xdr:cNvPr id="1" name="Group 33"/>
        <xdr:cNvGrpSpPr>
          <a:grpSpLocks/>
        </xdr:cNvGrpSpPr>
      </xdr:nvGrpSpPr>
      <xdr:grpSpPr>
        <a:xfrm>
          <a:off x="276225" y="16811625"/>
          <a:ext cx="6200775" cy="30480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93</xdr:row>
      <xdr:rowOff>0</xdr:rowOff>
    </xdr:from>
    <xdr:to>
      <xdr:col>32</xdr:col>
      <xdr:colOff>76200</xdr:colOff>
      <xdr:row>93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8575" y="19640550"/>
          <a:ext cx="557212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4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5"/>
  <sheetViews>
    <sheetView zoomScale="150" zoomScaleNormal="150" workbookViewId="0" topLeftCell="A18">
      <selection activeCell="D18" sqref="D1:D16384"/>
    </sheetView>
  </sheetViews>
  <sheetFormatPr defaultColWidth="9.00390625" defaultRowHeight="12.75"/>
  <cols>
    <col min="1" max="1" width="6.25390625" style="170" customWidth="1"/>
    <col min="2" max="2" width="53.625" style="170" customWidth="1"/>
    <col min="3" max="4" width="9.125" style="170" customWidth="1"/>
    <col min="5" max="5" width="13.00390625" style="170" bestFit="1" customWidth="1"/>
    <col min="6" max="16384" width="9.125" style="170" customWidth="1"/>
  </cols>
  <sheetData>
    <row r="2" spans="1:5" ht="15">
      <c r="A2" s="112" t="s">
        <v>41</v>
      </c>
      <c r="B2" s="23" t="s">
        <v>42</v>
      </c>
      <c r="C2" s="23" t="s">
        <v>43</v>
      </c>
      <c r="D2" s="23" t="s">
        <v>44</v>
      </c>
      <c r="E2" s="23" t="s">
        <v>45</v>
      </c>
    </row>
    <row r="3" spans="1:5" ht="16.5" customHeight="1">
      <c r="A3" s="208">
        <v>1</v>
      </c>
      <c r="B3" s="25" t="s">
        <v>3</v>
      </c>
      <c r="C3" s="164">
        <v>361</v>
      </c>
      <c r="D3" s="164">
        <v>702</v>
      </c>
      <c r="E3" s="165">
        <v>120000</v>
      </c>
    </row>
    <row r="4" spans="1:5" ht="16.5" customHeight="1">
      <c r="A4" s="208"/>
      <c r="B4" s="25" t="s">
        <v>4</v>
      </c>
      <c r="C4" s="164">
        <v>702</v>
      </c>
      <c r="D4" s="164">
        <v>6412</v>
      </c>
      <c r="E4" s="165">
        <v>20000</v>
      </c>
    </row>
    <row r="5" spans="1:5" ht="16.5" customHeight="1">
      <c r="A5" s="208"/>
      <c r="B5" s="25" t="s">
        <v>9</v>
      </c>
      <c r="C5" s="159">
        <v>902</v>
      </c>
      <c r="D5" s="159">
        <v>281</v>
      </c>
      <c r="E5" s="160">
        <v>50000</v>
      </c>
    </row>
    <row r="6" spans="1:5" ht="16.5" customHeight="1">
      <c r="A6" s="208">
        <v>2</v>
      </c>
      <c r="B6" s="25" t="s">
        <v>5</v>
      </c>
      <c r="C6" s="159">
        <v>704</v>
      </c>
      <c r="D6" s="159">
        <v>361</v>
      </c>
      <c r="E6" s="160">
        <v>1500</v>
      </c>
    </row>
    <row r="7" spans="1:5" ht="16.5" customHeight="1">
      <c r="A7" s="208"/>
      <c r="B7" s="25" t="s">
        <v>6</v>
      </c>
      <c r="C7" s="159">
        <v>704</v>
      </c>
      <c r="D7" s="159">
        <v>6412</v>
      </c>
      <c r="E7" s="163">
        <v>-250</v>
      </c>
    </row>
    <row r="8" spans="1:5" ht="16.5" customHeight="1">
      <c r="A8" s="208"/>
      <c r="B8" s="25" t="s">
        <v>10</v>
      </c>
      <c r="C8" s="159">
        <v>902</v>
      </c>
      <c r="D8" s="159">
        <v>281</v>
      </c>
      <c r="E8" s="163">
        <v>-500</v>
      </c>
    </row>
    <row r="9" spans="1:5" ht="16.5" customHeight="1">
      <c r="A9" s="24">
        <v>3</v>
      </c>
      <c r="B9" s="25" t="s">
        <v>7</v>
      </c>
      <c r="C9" s="159">
        <v>311</v>
      </c>
      <c r="D9" s="159">
        <v>361</v>
      </c>
      <c r="E9" s="160">
        <v>95000</v>
      </c>
    </row>
    <row r="10" spans="1:5" ht="16.5" customHeight="1">
      <c r="A10" s="208">
        <v>4</v>
      </c>
      <c r="B10" s="25" t="s">
        <v>40</v>
      </c>
      <c r="C10" s="159">
        <v>311</v>
      </c>
      <c r="D10" s="159">
        <v>681</v>
      </c>
      <c r="E10" s="160">
        <v>15000</v>
      </c>
    </row>
    <row r="11" spans="1:5" ht="16.5" customHeight="1">
      <c r="A11" s="208"/>
      <c r="B11" s="25" t="s">
        <v>8</v>
      </c>
      <c r="C11" s="159">
        <v>643</v>
      </c>
      <c r="D11" s="159">
        <v>6412</v>
      </c>
      <c r="E11" s="160">
        <v>2500</v>
      </c>
    </row>
    <row r="12" spans="1:5" ht="16.5" customHeight="1">
      <c r="A12" s="208">
        <v>6</v>
      </c>
      <c r="B12" s="25" t="s">
        <v>11</v>
      </c>
      <c r="C12" s="159">
        <v>281</v>
      </c>
      <c r="D12" s="159">
        <v>631</v>
      </c>
      <c r="E12" s="160">
        <v>35250</v>
      </c>
    </row>
    <row r="13" spans="1:5" ht="16.5" customHeight="1">
      <c r="A13" s="208"/>
      <c r="B13" s="25" t="s">
        <v>12</v>
      </c>
      <c r="C13" s="159">
        <v>6442</v>
      </c>
      <c r="D13" s="159">
        <v>631</v>
      </c>
      <c r="E13" s="160">
        <v>7050</v>
      </c>
    </row>
    <row r="14" spans="1:5" ht="16.5" customHeight="1">
      <c r="A14" s="208"/>
      <c r="B14" s="25" t="s">
        <v>374</v>
      </c>
      <c r="C14" s="159">
        <v>6412</v>
      </c>
      <c r="D14" s="159">
        <v>6442</v>
      </c>
      <c r="E14" s="160">
        <v>7050</v>
      </c>
    </row>
    <row r="15" spans="1:5" ht="16.5" customHeight="1">
      <c r="A15" s="208">
        <v>7</v>
      </c>
      <c r="B15" s="25" t="s">
        <v>13</v>
      </c>
      <c r="C15" s="159">
        <v>631</v>
      </c>
      <c r="D15" s="159">
        <v>311</v>
      </c>
      <c r="E15" s="160">
        <v>30000</v>
      </c>
    </row>
    <row r="16" spans="1:5" ht="16.5" customHeight="1">
      <c r="A16" s="208"/>
      <c r="B16" s="25" t="s">
        <v>14</v>
      </c>
      <c r="C16" s="159"/>
      <c r="D16" s="159"/>
      <c r="E16" s="160"/>
    </row>
    <row r="17" spans="1:5" ht="16.5" customHeight="1">
      <c r="A17" s="208">
        <v>8</v>
      </c>
      <c r="B17" s="25" t="s">
        <v>15</v>
      </c>
      <c r="C17" s="159">
        <v>371</v>
      </c>
      <c r="D17" s="159">
        <v>311</v>
      </c>
      <c r="E17" s="160">
        <v>18000</v>
      </c>
    </row>
    <row r="18" spans="1:5" ht="16.5" customHeight="1">
      <c r="A18" s="208"/>
      <c r="B18" s="25" t="s">
        <v>16</v>
      </c>
      <c r="C18" s="159">
        <v>6442</v>
      </c>
      <c r="D18" s="159">
        <v>6441</v>
      </c>
      <c r="E18" s="160">
        <v>3000</v>
      </c>
    </row>
    <row r="19" spans="1:5" ht="16.5" customHeight="1">
      <c r="A19" s="208"/>
      <c r="B19" s="25" t="s">
        <v>375</v>
      </c>
      <c r="C19" s="159">
        <v>6412</v>
      </c>
      <c r="D19" s="159">
        <v>6442</v>
      </c>
      <c r="E19" s="160">
        <v>3000</v>
      </c>
    </row>
    <row r="20" spans="1:5" ht="16.5" customHeight="1">
      <c r="A20" s="24">
        <v>9</v>
      </c>
      <c r="B20" s="25" t="s">
        <v>17</v>
      </c>
      <c r="C20" s="159">
        <v>946</v>
      </c>
      <c r="D20" s="159">
        <v>281</v>
      </c>
      <c r="E20" s="160">
        <v>750</v>
      </c>
    </row>
    <row r="21" spans="1:5" ht="16.5" customHeight="1">
      <c r="A21" s="24">
        <v>10</v>
      </c>
      <c r="B21" s="25" t="s">
        <v>18</v>
      </c>
      <c r="C21" s="159">
        <v>944</v>
      </c>
      <c r="D21" s="159">
        <v>38</v>
      </c>
      <c r="E21" s="160">
        <v>2100</v>
      </c>
    </row>
    <row r="22" spans="1:5" ht="33" customHeight="1">
      <c r="A22" s="24">
        <v>11</v>
      </c>
      <c r="B22" s="25" t="s">
        <v>19</v>
      </c>
      <c r="C22" s="159">
        <v>38</v>
      </c>
      <c r="D22" s="159">
        <v>361</v>
      </c>
      <c r="E22" s="160">
        <v>2500</v>
      </c>
    </row>
    <row r="23" spans="1:5" ht="33.75" customHeight="1">
      <c r="A23" s="208">
        <v>12</v>
      </c>
      <c r="B23" s="25" t="s">
        <v>67</v>
      </c>
      <c r="C23" s="159">
        <v>92</v>
      </c>
      <c r="D23" s="159">
        <v>372</v>
      </c>
      <c r="E23" s="160">
        <v>1180</v>
      </c>
    </row>
    <row r="24" spans="1:5" ht="16.5" customHeight="1">
      <c r="A24" s="208"/>
      <c r="B24" s="25" t="s">
        <v>20</v>
      </c>
      <c r="C24" s="159">
        <v>6412</v>
      </c>
      <c r="D24" s="159">
        <v>372</v>
      </c>
      <c r="E24" s="160">
        <v>120</v>
      </c>
    </row>
    <row r="25" spans="1:5" ht="49.5" customHeight="1">
      <c r="A25" s="24">
        <v>13</v>
      </c>
      <c r="B25" s="25" t="s">
        <v>106</v>
      </c>
      <c r="C25" s="159">
        <v>312</v>
      </c>
      <c r="D25" s="159">
        <v>714</v>
      </c>
      <c r="E25" s="160">
        <v>335</v>
      </c>
    </row>
    <row r="26" spans="1:5" ht="16.5" customHeight="1">
      <c r="A26" s="208">
        <v>14</v>
      </c>
      <c r="B26" s="25" t="s">
        <v>47</v>
      </c>
      <c r="C26" s="159">
        <v>93</v>
      </c>
      <c r="D26" s="159">
        <v>631</v>
      </c>
      <c r="E26" s="160">
        <v>750</v>
      </c>
    </row>
    <row r="27" spans="1:5" ht="16.5" customHeight="1">
      <c r="A27" s="208"/>
      <c r="B27" s="25" t="s">
        <v>21</v>
      </c>
      <c r="C27" s="159">
        <v>6442</v>
      </c>
      <c r="D27" s="159">
        <v>631</v>
      </c>
      <c r="E27" s="160">
        <v>150</v>
      </c>
    </row>
    <row r="28" spans="1:5" ht="16.5" customHeight="1">
      <c r="A28" s="208"/>
      <c r="B28" s="25" t="s">
        <v>376</v>
      </c>
      <c r="C28" s="159">
        <v>6412</v>
      </c>
      <c r="D28" s="159">
        <v>6442</v>
      </c>
      <c r="E28" s="160">
        <v>150</v>
      </c>
    </row>
    <row r="29" spans="1:5" ht="16.5" customHeight="1">
      <c r="A29" s="24">
        <v>15</v>
      </c>
      <c r="B29" s="25" t="s">
        <v>46</v>
      </c>
      <c r="C29" s="159">
        <v>93</v>
      </c>
      <c r="D29" s="159">
        <v>203</v>
      </c>
      <c r="E29" s="160">
        <v>2000</v>
      </c>
    </row>
    <row r="30" spans="1:5" ht="16.5" customHeight="1">
      <c r="A30" s="208">
        <v>16</v>
      </c>
      <c r="B30" s="25" t="s">
        <v>48</v>
      </c>
      <c r="C30" s="159">
        <v>92</v>
      </c>
      <c r="D30" s="159">
        <v>631</v>
      </c>
      <c r="E30" s="160">
        <v>600</v>
      </c>
    </row>
    <row r="31" spans="1:5" ht="16.5" customHeight="1">
      <c r="A31" s="208"/>
      <c r="B31" s="25" t="s">
        <v>22</v>
      </c>
      <c r="C31" s="159">
        <v>6442</v>
      </c>
      <c r="D31" s="159">
        <v>631</v>
      </c>
      <c r="E31" s="160">
        <v>120</v>
      </c>
    </row>
    <row r="32" spans="1:5" ht="16.5" customHeight="1">
      <c r="A32" s="208"/>
      <c r="B32" s="25" t="s">
        <v>377</v>
      </c>
      <c r="C32" s="159">
        <v>6412</v>
      </c>
      <c r="D32" s="159">
        <v>6442</v>
      </c>
      <c r="E32" s="160">
        <v>120</v>
      </c>
    </row>
    <row r="33" spans="1:5" ht="16.5" customHeight="1">
      <c r="A33" s="208">
        <v>17</v>
      </c>
      <c r="B33" s="25" t="s">
        <v>23</v>
      </c>
      <c r="C33" s="159">
        <v>92</v>
      </c>
      <c r="D33" s="159">
        <v>661</v>
      </c>
      <c r="E33" s="160">
        <v>10000</v>
      </c>
    </row>
    <row r="34" spans="1:5" ht="16.5" customHeight="1">
      <c r="A34" s="208"/>
      <c r="B34" s="25" t="s">
        <v>503</v>
      </c>
      <c r="C34" s="159">
        <v>93</v>
      </c>
      <c r="D34" s="159">
        <v>661</v>
      </c>
      <c r="E34" s="160">
        <v>15000</v>
      </c>
    </row>
    <row r="35" spans="1:5" ht="16.5" customHeight="1">
      <c r="A35" s="208"/>
      <c r="B35" s="25" t="s">
        <v>61</v>
      </c>
      <c r="C35" s="159">
        <v>23</v>
      </c>
      <c r="D35" s="159">
        <v>661</v>
      </c>
      <c r="E35" s="160">
        <v>75000</v>
      </c>
    </row>
    <row r="36" spans="1:5" ht="16.5" customHeight="1">
      <c r="A36" s="208"/>
      <c r="B36" s="25" t="s">
        <v>62</v>
      </c>
      <c r="C36" s="159">
        <v>91</v>
      </c>
      <c r="D36" s="159">
        <v>661</v>
      </c>
      <c r="E36" s="160">
        <v>20000</v>
      </c>
    </row>
    <row r="37" spans="1:5" ht="16.5" customHeight="1">
      <c r="A37" s="208">
        <v>18</v>
      </c>
      <c r="B37" s="25" t="s">
        <v>66</v>
      </c>
      <c r="C37" s="159">
        <v>92</v>
      </c>
      <c r="D37" s="159">
        <v>651</v>
      </c>
      <c r="E37" s="160">
        <f>E33*0.38</f>
        <v>3800</v>
      </c>
    </row>
    <row r="38" spans="1:5" ht="16.5" customHeight="1">
      <c r="A38" s="208"/>
      <c r="B38" s="25"/>
      <c r="C38" s="159">
        <v>93</v>
      </c>
      <c r="D38" s="159">
        <v>651</v>
      </c>
      <c r="E38" s="160">
        <f>E34*0.38</f>
        <v>5700</v>
      </c>
    </row>
    <row r="39" spans="1:5" ht="16.5" customHeight="1">
      <c r="A39" s="208"/>
      <c r="B39" s="25"/>
      <c r="C39" s="159">
        <v>23</v>
      </c>
      <c r="D39" s="159">
        <v>651</v>
      </c>
      <c r="E39" s="160">
        <f>E35*0.38</f>
        <v>28500</v>
      </c>
    </row>
    <row r="40" spans="1:5" ht="16.5" customHeight="1">
      <c r="A40" s="208"/>
      <c r="B40" s="25"/>
      <c r="C40" s="159">
        <v>91</v>
      </c>
      <c r="D40" s="159">
        <v>651</v>
      </c>
      <c r="E40" s="160">
        <f>E36*0.38</f>
        <v>7600</v>
      </c>
    </row>
    <row r="41" spans="1:5" ht="16.5" customHeight="1">
      <c r="A41" s="208">
        <v>19</v>
      </c>
      <c r="B41" s="25" t="s">
        <v>73</v>
      </c>
      <c r="C41" s="157">
        <v>661</v>
      </c>
      <c r="D41" s="157">
        <v>6411</v>
      </c>
      <c r="E41" s="158">
        <v>17352</v>
      </c>
    </row>
    <row r="42" spans="1:5" ht="16.5" customHeight="1">
      <c r="A42" s="208"/>
      <c r="B42" s="25" t="s">
        <v>72</v>
      </c>
      <c r="C42" s="157">
        <v>661</v>
      </c>
      <c r="D42" s="157">
        <v>651</v>
      </c>
      <c r="E42" s="158">
        <v>4320</v>
      </c>
    </row>
    <row r="43" spans="1:5" ht="16.5" customHeight="1">
      <c r="A43" s="208"/>
      <c r="B43" s="1" t="s">
        <v>107</v>
      </c>
      <c r="C43" s="157">
        <v>661</v>
      </c>
      <c r="D43" s="157">
        <v>685</v>
      </c>
      <c r="E43" s="158">
        <v>775</v>
      </c>
    </row>
    <row r="44" spans="1:5" ht="16.5" customHeight="1">
      <c r="A44" s="24">
        <v>20</v>
      </c>
      <c r="B44" s="25" t="s">
        <v>89</v>
      </c>
      <c r="C44" s="159">
        <v>661</v>
      </c>
      <c r="D44" s="159">
        <v>685</v>
      </c>
      <c r="E44" s="160">
        <v>775</v>
      </c>
    </row>
    <row r="45" spans="1:5" ht="32.25" customHeight="1">
      <c r="A45" s="208">
        <v>21</v>
      </c>
      <c r="B45" s="25" t="s">
        <v>373</v>
      </c>
      <c r="C45" s="157">
        <v>104</v>
      </c>
      <c r="D45" s="157">
        <v>131</v>
      </c>
      <c r="E45" s="158">
        <v>150000</v>
      </c>
    </row>
    <row r="46" spans="1:5" ht="16.5" customHeight="1">
      <c r="A46" s="208"/>
      <c r="B46" s="25" t="s">
        <v>59</v>
      </c>
      <c r="C46" s="157">
        <v>104</v>
      </c>
      <c r="D46" s="157">
        <v>423</v>
      </c>
      <c r="E46" s="158">
        <v>225000</v>
      </c>
    </row>
    <row r="47" spans="1:5" ht="16.5" customHeight="1">
      <c r="A47" s="208"/>
      <c r="B47" s="25"/>
      <c r="C47" s="159"/>
      <c r="D47" s="159"/>
      <c r="E47" s="160"/>
    </row>
    <row r="48" spans="1:5" ht="16.5" customHeight="1">
      <c r="A48" s="208"/>
      <c r="B48" s="25"/>
      <c r="C48" s="159"/>
      <c r="D48" s="159"/>
      <c r="E48" s="160"/>
    </row>
    <row r="49" spans="1:5" ht="16.5" customHeight="1">
      <c r="A49" s="208"/>
      <c r="B49" s="25" t="s">
        <v>371</v>
      </c>
      <c r="C49" s="157">
        <v>131</v>
      </c>
      <c r="D49" s="157">
        <v>104</v>
      </c>
      <c r="E49" s="158">
        <v>120000</v>
      </c>
    </row>
    <row r="50" spans="1:5" ht="16.5" customHeight="1">
      <c r="A50" s="208"/>
      <c r="B50" s="25" t="s">
        <v>370</v>
      </c>
      <c r="C50" s="157">
        <v>423</v>
      </c>
      <c r="D50" s="157">
        <v>104</v>
      </c>
      <c r="E50" s="158">
        <v>145000</v>
      </c>
    </row>
    <row r="51" spans="1:5" ht="16.5" customHeight="1">
      <c r="A51" s="208"/>
      <c r="B51" s="25"/>
      <c r="C51" s="157">
        <v>975</v>
      </c>
      <c r="D51" s="157">
        <v>104</v>
      </c>
      <c r="E51" s="158">
        <v>35000</v>
      </c>
    </row>
    <row r="52" spans="1:5" ht="16.5" customHeight="1">
      <c r="A52" s="208">
        <v>22</v>
      </c>
      <c r="B52" s="25" t="s">
        <v>63</v>
      </c>
      <c r="C52" s="157">
        <v>201</v>
      </c>
      <c r="D52" s="157">
        <v>631</v>
      </c>
      <c r="E52" s="158">
        <v>75250</v>
      </c>
    </row>
    <row r="53" spans="1:5" ht="16.5" customHeight="1">
      <c r="A53" s="208"/>
      <c r="B53" s="25" t="s">
        <v>64</v>
      </c>
      <c r="C53" s="157">
        <v>6442</v>
      </c>
      <c r="D53" s="166">
        <v>631</v>
      </c>
      <c r="E53" s="158">
        <v>15050</v>
      </c>
    </row>
    <row r="54" spans="1:5" ht="16.5" customHeight="1">
      <c r="A54" s="208"/>
      <c r="B54" s="25" t="s">
        <v>378</v>
      </c>
      <c r="C54" s="168">
        <v>6412</v>
      </c>
      <c r="D54" s="168">
        <v>6442</v>
      </c>
      <c r="E54" s="169">
        <v>15050</v>
      </c>
    </row>
    <row r="55" spans="1:5" ht="16.5" customHeight="1">
      <c r="A55" s="24">
        <v>23</v>
      </c>
      <c r="B55" s="25" t="s">
        <v>65</v>
      </c>
      <c r="C55" s="157">
        <v>631</v>
      </c>
      <c r="D55" s="157">
        <v>311</v>
      </c>
      <c r="E55" s="158">
        <v>65000</v>
      </c>
    </row>
    <row r="56" spans="1:5" ht="16.5" customHeight="1">
      <c r="A56" s="24">
        <v>24</v>
      </c>
      <c r="B56" s="25" t="s">
        <v>90</v>
      </c>
      <c r="C56" s="157">
        <v>23</v>
      </c>
      <c r="D56" s="157">
        <v>201</v>
      </c>
      <c r="E56" s="158">
        <v>73000</v>
      </c>
    </row>
    <row r="57" spans="1:5" ht="30.75" customHeight="1">
      <c r="A57" s="208">
        <v>25</v>
      </c>
      <c r="B57" s="25" t="s">
        <v>69</v>
      </c>
      <c r="C57" s="157">
        <v>91</v>
      </c>
      <c r="D57" s="157">
        <v>372</v>
      </c>
      <c r="E57" s="158">
        <v>4850</v>
      </c>
    </row>
    <row r="58" spans="1:5" ht="16.5" customHeight="1">
      <c r="A58" s="208"/>
      <c r="B58" s="25" t="s">
        <v>68</v>
      </c>
      <c r="C58" s="167">
        <v>6412</v>
      </c>
      <c r="D58" s="166">
        <v>372</v>
      </c>
      <c r="E58" s="158">
        <v>550</v>
      </c>
    </row>
    <row r="59" spans="1:5" ht="16.5" customHeight="1">
      <c r="A59" s="208">
        <v>26</v>
      </c>
      <c r="B59" s="25" t="s">
        <v>81</v>
      </c>
      <c r="C59" s="157">
        <v>92</v>
      </c>
      <c r="D59" s="157">
        <v>131</v>
      </c>
      <c r="E59" s="158">
        <v>15630</v>
      </c>
    </row>
    <row r="60" spans="1:5" ht="16.5" customHeight="1">
      <c r="A60" s="208"/>
      <c r="B60" s="26" t="s">
        <v>98</v>
      </c>
      <c r="C60" s="157">
        <v>93</v>
      </c>
      <c r="D60" s="157">
        <v>131</v>
      </c>
      <c r="E60" s="158">
        <v>13737</v>
      </c>
    </row>
    <row r="61" spans="1:5" ht="16.5" customHeight="1">
      <c r="A61" s="208"/>
      <c r="B61" s="26" t="s">
        <v>88</v>
      </c>
      <c r="C61" s="157">
        <v>91</v>
      </c>
      <c r="D61" s="157">
        <v>131</v>
      </c>
      <c r="E61" s="158">
        <f>35937+33750</f>
        <v>69687</v>
      </c>
    </row>
    <row r="62" spans="1:5" ht="32.25" customHeight="1">
      <c r="A62" s="24">
        <v>27</v>
      </c>
      <c r="B62" s="25" t="s">
        <v>372</v>
      </c>
      <c r="C62" s="161">
        <v>23</v>
      </c>
      <c r="D62" s="161">
        <v>91</v>
      </c>
      <c r="E62" s="158">
        <v>311198</v>
      </c>
    </row>
    <row r="63" spans="1:5" ht="33" customHeight="1">
      <c r="A63" s="24">
        <v>28</v>
      </c>
      <c r="B63" s="25" t="s">
        <v>96</v>
      </c>
      <c r="C63" s="167">
        <v>26</v>
      </c>
      <c r="D63" s="157">
        <v>23</v>
      </c>
      <c r="E63" s="158">
        <v>305000</v>
      </c>
    </row>
    <row r="64" spans="1:5" ht="33" customHeight="1">
      <c r="A64" s="208">
        <v>29</v>
      </c>
      <c r="B64" s="25" t="s">
        <v>75</v>
      </c>
      <c r="C64" s="167">
        <v>361</v>
      </c>
      <c r="D64" s="157">
        <v>701</v>
      </c>
      <c r="E64" s="158">
        <v>690300</v>
      </c>
    </row>
    <row r="65" spans="1:5" ht="16.5" customHeight="1">
      <c r="A65" s="208"/>
      <c r="B65" s="25" t="s">
        <v>76</v>
      </c>
      <c r="C65" s="167">
        <v>701</v>
      </c>
      <c r="D65" s="157">
        <v>641</v>
      </c>
      <c r="E65" s="158">
        <v>115050</v>
      </c>
    </row>
    <row r="66" spans="1:5" ht="16.5" customHeight="1">
      <c r="A66" s="24">
        <v>30</v>
      </c>
      <c r="B66" s="25" t="s">
        <v>74</v>
      </c>
      <c r="C66" s="167">
        <v>311</v>
      </c>
      <c r="D66" s="157">
        <v>361</v>
      </c>
      <c r="E66" s="158">
        <v>450000</v>
      </c>
    </row>
    <row r="67" spans="1:5" ht="33.75" customHeight="1">
      <c r="A67" s="24">
        <v>31</v>
      </c>
      <c r="B67" s="25" t="s">
        <v>87</v>
      </c>
      <c r="C67" s="167">
        <v>901</v>
      </c>
      <c r="D67" s="157">
        <v>26</v>
      </c>
      <c r="E67" s="158">
        <v>235000</v>
      </c>
    </row>
    <row r="68" spans="1:5" ht="16.5" customHeight="1">
      <c r="A68" s="208">
        <v>32</v>
      </c>
      <c r="B68" s="25" t="s">
        <v>24</v>
      </c>
      <c r="C68" s="157">
        <v>152</v>
      </c>
      <c r="D68" s="157">
        <v>6312</v>
      </c>
      <c r="E68" s="158">
        <v>17667</v>
      </c>
    </row>
    <row r="69" spans="1:5" ht="16.5" customHeight="1">
      <c r="A69" s="208"/>
      <c r="B69" s="25" t="s">
        <v>25</v>
      </c>
      <c r="C69" s="157">
        <v>641</v>
      </c>
      <c r="D69" s="157">
        <v>6312</v>
      </c>
      <c r="E69" s="158">
        <v>3533</v>
      </c>
    </row>
    <row r="70" spans="1:5" ht="16.5" customHeight="1">
      <c r="A70" s="208"/>
      <c r="B70" s="25" t="s">
        <v>26</v>
      </c>
      <c r="C70" s="157">
        <v>152</v>
      </c>
      <c r="D70" s="157">
        <v>6312</v>
      </c>
      <c r="E70" s="158">
        <v>500</v>
      </c>
    </row>
    <row r="71" spans="1:5" ht="16.5" customHeight="1">
      <c r="A71" s="208"/>
      <c r="B71" s="25" t="s">
        <v>27</v>
      </c>
      <c r="C71" s="157">
        <v>104</v>
      </c>
      <c r="D71" s="157">
        <v>152</v>
      </c>
      <c r="E71" s="158">
        <v>18167</v>
      </c>
    </row>
    <row r="72" spans="1:5" ht="17.25" customHeight="1">
      <c r="A72" s="208">
        <v>33</v>
      </c>
      <c r="B72" s="25" t="s">
        <v>365</v>
      </c>
      <c r="C72" s="157">
        <v>6312</v>
      </c>
      <c r="D72" s="157">
        <v>311</v>
      </c>
      <c r="E72" s="158">
        <v>15500</v>
      </c>
    </row>
    <row r="73" spans="1:5" ht="16.5" customHeight="1">
      <c r="A73" s="208"/>
      <c r="B73" s="25" t="s">
        <v>28</v>
      </c>
      <c r="C73" s="157"/>
      <c r="D73" s="157"/>
      <c r="E73" s="158"/>
    </row>
    <row r="74" spans="1:5" ht="33.75" customHeight="1">
      <c r="A74" s="208">
        <v>34</v>
      </c>
      <c r="B74" s="26" t="s">
        <v>366</v>
      </c>
      <c r="C74" s="157">
        <v>333</v>
      </c>
      <c r="D74" s="157">
        <v>372</v>
      </c>
      <c r="E74" s="158">
        <v>250</v>
      </c>
    </row>
    <row r="75" spans="1:5" ht="18" customHeight="1">
      <c r="A75" s="208"/>
      <c r="B75" s="26" t="s">
        <v>49</v>
      </c>
      <c r="C75" s="157">
        <v>6442</v>
      </c>
      <c r="D75" s="157">
        <v>372</v>
      </c>
      <c r="E75" s="158">
        <v>50</v>
      </c>
    </row>
    <row r="76" spans="1:5" ht="16.5" customHeight="1">
      <c r="A76" s="208"/>
      <c r="B76" s="26" t="s">
        <v>379</v>
      </c>
      <c r="C76" s="159">
        <v>6412</v>
      </c>
      <c r="D76" s="159">
        <v>6442</v>
      </c>
      <c r="E76" s="160">
        <v>50</v>
      </c>
    </row>
    <row r="77" spans="1:5" ht="16.5" customHeight="1">
      <c r="A77" s="24">
        <v>35</v>
      </c>
      <c r="B77" s="26" t="s">
        <v>91</v>
      </c>
      <c r="C77" s="157">
        <v>92</v>
      </c>
      <c r="D77" s="157">
        <v>333</v>
      </c>
      <c r="E77" s="158">
        <v>320</v>
      </c>
    </row>
    <row r="78" spans="1:5" ht="16.5" customHeight="1">
      <c r="A78" s="208">
        <v>36</v>
      </c>
      <c r="B78" s="26" t="s">
        <v>50</v>
      </c>
      <c r="C78" s="157">
        <v>631</v>
      </c>
      <c r="D78" s="157">
        <v>311</v>
      </c>
      <c r="E78" s="158">
        <v>600</v>
      </c>
    </row>
    <row r="79" spans="1:5" ht="16.5" customHeight="1">
      <c r="A79" s="208"/>
      <c r="B79" s="26" t="s">
        <v>51</v>
      </c>
      <c r="C79" s="157">
        <v>6442</v>
      </c>
      <c r="D79" s="157">
        <v>6441</v>
      </c>
      <c r="E79" s="158">
        <v>100</v>
      </c>
    </row>
    <row r="80" spans="1:5" ht="33" customHeight="1">
      <c r="A80" s="208"/>
      <c r="B80" s="26" t="s">
        <v>52</v>
      </c>
      <c r="C80" s="157">
        <v>39</v>
      </c>
      <c r="D80" s="157">
        <v>631</v>
      </c>
      <c r="E80" s="158">
        <v>500</v>
      </c>
    </row>
    <row r="81" spans="1:5" ht="18.75" customHeight="1">
      <c r="A81" s="208"/>
      <c r="B81" s="26" t="s">
        <v>51</v>
      </c>
      <c r="C81" s="157">
        <v>6441</v>
      </c>
      <c r="D81" s="157">
        <v>631</v>
      </c>
      <c r="E81" s="158">
        <v>100</v>
      </c>
    </row>
    <row r="82" spans="1:5" ht="16.5" customHeight="1">
      <c r="A82" s="208"/>
      <c r="B82" s="26" t="s">
        <v>380</v>
      </c>
      <c r="C82" s="157">
        <v>6411</v>
      </c>
      <c r="D82" s="157">
        <v>6442</v>
      </c>
      <c r="E82" s="158">
        <v>540</v>
      </c>
    </row>
    <row r="83" spans="1:5" ht="16.5" customHeight="1">
      <c r="A83" s="24">
        <v>37</v>
      </c>
      <c r="B83" s="26" t="s">
        <v>92</v>
      </c>
      <c r="C83" s="157">
        <v>92</v>
      </c>
      <c r="D83" s="157">
        <v>39</v>
      </c>
      <c r="E83" s="158">
        <v>540</v>
      </c>
    </row>
    <row r="84" spans="1:5" ht="16.5" customHeight="1">
      <c r="A84" s="208">
        <v>38</v>
      </c>
      <c r="B84" s="25" t="s">
        <v>70</v>
      </c>
      <c r="C84" s="157">
        <v>301</v>
      </c>
      <c r="D84" s="157">
        <v>311</v>
      </c>
      <c r="E84" s="158">
        <v>15000</v>
      </c>
    </row>
    <row r="85" spans="1:5" ht="18" customHeight="1">
      <c r="A85" s="208"/>
      <c r="B85" s="25" t="s">
        <v>93</v>
      </c>
      <c r="C85" s="157">
        <v>372</v>
      </c>
      <c r="D85" s="157">
        <v>301</v>
      </c>
      <c r="E85" s="158">
        <v>5000</v>
      </c>
    </row>
    <row r="86" spans="1:5" ht="16.5" customHeight="1">
      <c r="A86" s="208"/>
      <c r="B86" s="25" t="s">
        <v>29</v>
      </c>
      <c r="C86" s="157">
        <v>661</v>
      </c>
      <c r="D86" s="157">
        <v>301</v>
      </c>
      <c r="E86" s="158">
        <v>10000</v>
      </c>
    </row>
    <row r="87" spans="1:5" ht="16.5" customHeight="1">
      <c r="A87" s="24">
        <v>39</v>
      </c>
      <c r="B87" s="25" t="s">
        <v>94</v>
      </c>
      <c r="C87" s="159">
        <v>685</v>
      </c>
      <c r="D87" s="159">
        <v>311</v>
      </c>
      <c r="E87" s="160">
        <v>775</v>
      </c>
    </row>
    <row r="88" spans="1:5" ht="18.75" customHeight="1">
      <c r="A88" s="208">
        <v>40</v>
      </c>
      <c r="B88" s="25" t="s">
        <v>108</v>
      </c>
      <c r="C88" s="157">
        <v>311</v>
      </c>
      <c r="D88" s="157">
        <v>501</v>
      </c>
      <c r="E88" s="158">
        <v>150000</v>
      </c>
    </row>
    <row r="89" spans="1:5" ht="16.5" customHeight="1">
      <c r="A89" s="208"/>
      <c r="B89" s="25" t="s">
        <v>95</v>
      </c>
      <c r="C89" s="157">
        <v>501</v>
      </c>
      <c r="D89" s="157">
        <v>611</v>
      </c>
      <c r="E89" s="158">
        <v>50000</v>
      </c>
    </row>
    <row r="90" spans="1:5" ht="16.5" customHeight="1">
      <c r="A90" s="208">
        <v>41</v>
      </c>
      <c r="B90" s="25" t="s">
        <v>30</v>
      </c>
      <c r="C90" s="157">
        <v>611</v>
      </c>
      <c r="D90" s="157">
        <v>311</v>
      </c>
      <c r="E90" s="158">
        <v>12500</v>
      </c>
    </row>
    <row r="91" spans="1:5" ht="16.5" customHeight="1">
      <c r="A91" s="208"/>
      <c r="B91" s="25" t="s">
        <v>31</v>
      </c>
      <c r="C91" s="157">
        <v>951</v>
      </c>
      <c r="D91" s="157">
        <v>684</v>
      </c>
      <c r="E91" s="158">
        <v>3125</v>
      </c>
    </row>
    <row r="92" spans="1:5" ht="16.5" customHeight="1">
      <c r="A92" s="208"/>
      <c r="B92" s="25" t="s">
        <v>32</v>
      </c>
      <c r="C92" s="157">
        <v>684</v>
      </c>
      <c r="D92" s="157">
        <v>311</v>
      </c>
      <c r="E92" s="158">
        <v>2100</v>
      </c>
    </row>
    <row r="93" spans="1:5" ht="16.5" customHeight="1">
      <c r="A93" s="24">
        <v>42</v>
      </c>
      <c r="B93" s="25" t="s">
        <v>33</v>
      </c>
      <c r="C93" s="157">
        <v>352</v>
      </c>
      <c r="D93" s="157">
        <v>311</v>
      </c>
      <c r="E93" s="158">
        <v>15000</v>
      </c>
    </row>
    <row r="94" spans="1:5" ht="16.5" customHeight="1">
      <c r="A94" s="208">
        <v>44</v>
      </c>
      <c r="B94" s="25" t="s">
        <v>381</v>
      </c>
      <c r="C94" s="157">
        <v>443</v>
      </c>
      <c r="D94" s="157">
        <v>671</v>
      </c>
      <c r="E94" s="158">
        <v>15000</v>
      </c>
    </row>
    <row r="95" spans="1:5" ht="16.5" customHeight="1">
      <c r="A95" s="208"/>
      <c r="B95" s="25" t="s">
        <v>34</v>
      </c>
      <c r="C95" s="157">
        <v>671</v>
      </c>
      <c r="D95" s="157">
        <v>311</v>
      </c>
      <c r="E95" s="158">
        <v>12000</v>
      </c>
    </row>
    <row r="96" spans="1:5" ht="16.5" customHeight="1">
      <c r="A96" s="208">
        <v>45</v>
      </c>
      <c r="B96" s="25" t="s">
        <v>77</v>
      </c>
      <c r="C96" s="157">
        <v>641</v>
      </c>
      <c r="D96" s="157">
        <v>311</v>
      </c>
      <c r="E96" s="158">
        <v>14500</v>
      </c>
    </row>
    <row r="97" spans="1:5" ht="16.5" customHeight="1">
      <c r="A97" s="208"/>
      <c r="B97" s="25" t="s">
        <v>85</v>
      </c>
      <c r="C97" s="157">
        <v>641</v>
      </c>
      <c r="D97" s="157">
        <v>311</v>
      </c>
      <c r="E97" s="158">
        <v>1500</v>
      </c>
    </row>
    <row r="98" spans="1:5" ht="16.5" customHeight="1">
      <c r="A98" s="208"/>
      <c r="B98" s="25" t="s">
        <v>35</v>
      </c>
      <c r="C98" s="157">
        <v>641</v>
      </c>
      <c r="D98" s="157">
        <v>311</v>
      </c>
      <c r="E98" s="158">
        <v>3000</v>
      </c>
    </row>
    <row r="99" spans="1:5" ht="16.5" customHeight="1">
      <c r="A99" s="208"/>
      <c r="B99" s="25" t="s">
        <v>53</v>
      </c>
      <c r="C99" s="157">
        <v>651</v>
      </c>
      <c r="D99" s="157">
        <v>311</v>
      </c>
      <c r="E99" s="158">
        <v>3750</v>
      </c>
    </row>
    <row r="100" spans="1:5" ht="16.5" customHeight="1">
      <c r="A100" s="208">
        <v>46</v>
      </c>
      <c r="B100" s="25" t="s">
        <v>80</v>
      </c>
      <c r="C100" s="157">
        <v>361</v>
      </c>
      <c r="D100" s="157">
        <v>712</v>
      </c>
      <c r="E100" s="158">
        <v>45000</v>
      </c>
    </row>
    <row r="101" spans="1:5" ht="16.5" customHeight="1">
      <c r="A101" s="208"/>
      <c r="B101" s="25" t="s">
        <v>36</v>
      </c>
      <c r="C101" s="172">
        <v>712</v>
      </c>
      <c r="D101" s="172">
        <v>641</v>
      </c>
      <c r="E101" s="158">
        <v>7500</v>
      </c>
    </row>
    <row r="102" spans="1:5" ht="33.75" customHeight="1">
      <c r="A102" s="208"/>
      <c r="B102" s="25" t="s">
        <v>97</v>
      </c>
      <c r="C102" s="172">
        <v>131</v>
      </c>
      <c r="D102" s="172">
        <v>104</v>
      </c>
      <c r="E102" s="158">
        <v>80000</v>
      </c>
    </row>
    <row r="103" spans="1:5" ht="16.5" customHeight="1">
      <c r="A103" s="208"/>
      <c r="B103" s="25" t="s">
        <v>37</v>
      </c>
      <c r="C103" s="172">
        <v>286</v>
      </c>
      <c r="D103" s="172">
        <v>104</v>
      </c>
      <c r="E103" s="158">
        <v>20000</v>
      </c>
    </row>
    <row r="104" spans="1:5" ht="16.5" customHeight="1">
      <c r="A104" s="208"/>
      <c r="B104" s="25" t="s">
        <v>367</v>
      </c>
      <c r="C104" s="172">
        <v>943</v>
      </c>
      <c r="D104" s="172">
        <v>286</v>
      </c>
      <c r="E104" s="158">
        <v>20000</v>
      </c>
    </row>
    <row r="105" spans="1:5" ht="21" customHeight="1">
      <c r="A105" s="208">
        <v>47</v>
      </c>
      <c r="B105" s="25" t="s">
        <v>38</v>
      </c>
      <c r="C105" s="172">
        <v>313</v>
      </c>
      <c r="D105" s="172">
        <v>311</v>
      </c>
      <c r="E105" s="158">
        <v>75000</v>
      </c>
    </row>
    <row r="106" spans="1:5" ht="16.5" customHeight="1">
      <c r="A106" s="208"/>
      <c r="B106" s="25" t="s">
        <v>60</v>
      </c>
      <c r="C106" s="172">
        <v>311</v>
      </c>
      <c r="D106" s="172">
        <v>732</v>
      </c>
      <c r="E106" s="158">
        <v>500</v>
      </c>
    </row>
    <row r="107" spans="1:5" ht="16.5" customHeight="1">
      <c r="A107" s="208">
        <v>48</v>
      </c>
      <c r="B107" s="25" t="s">
        <v>39</v>
      </c>
      <c r="C107" s="172">
        <v>46</v>
      </c>
      <c r="D107" s="172">
        <v>40</v>
      </c>
      <c r="E107" s="158">
        <v>450000</v>
      </c>
    </row>
    <row r="108" spans="1:5" ht="33" customHeight="1">
      <c r="A108" s="208"/>
      <c r="B108" s="25" t="s">
        <v>368</v>
      </c>
      <c r="C108" s="172">
        <v>311</v>
      </c>
      <c r="D108" s="172">
        <v>46</v>
      </c>
      <c r="E108" s="158">
        <v>400000</v>
      </c>
    </row>
    <row r="109" spans="1:5" ht="33" customHeight="1">
      <c r="A109" s="24">
        <v>49</v>
      </c>
      <c r="B109" s="25" t="s">
        <v>71</v>
      </c>
      <c r="C109" s="172">
        <v>981</v>
      </c>
      <c r="D109" s="172">
        <v>6412</v>
      </c>
      <c r="E109" s="158">
        <v>5000</v>
      </c>
    </row>
    <row r="110" spans="1:5" ht="16.5" customHeight="1">
      <c r="A110" s="24">
        <v>50</v>
      </c>
      <c r="B110" s="25" t="s">
        <v>109</v>
      </c>
      <c r="C110" s="162"/>
      <c r="D110" s="162"/>
      <c r="E110" s="160"/>
    </row>
    <row r="111" spans="1:5" ht="16.5" customHeight="1">
      <c r="A111" s="27"/>
      <c r="B111" s="27" t="s">
        <v>99</v>
      </c>
      <c r="C111" s="171">
        <v>701</v>
      </c>
      <c r="D111" s="171">
        <v>791</v>
      </c>
      <c r="E111" s="171"/>
    </row>
    <row r="112" spans="1:5" ht="16.5" customHeight="1">
      <c r="A112" s="27"/>
      <c r="B112" s="27"/>
      <c r="C112" s="171">
        <v>702</v>
      </c>
      <c r="D112" s="171">
        <v>791</v>
      </c>
      <c r="E112" s="171"/>
    </row>
    <row r="113" spans="1:5" ht="16.5" customHeight="1">
      <c r="A113" s="27"/>
      <c r="B113" s="27"/>
      <c r="C113" s="171">
        <v>791</v>
      </c>
      <c r="D113" s="171">
        <v>704</v>
      </c>
      <c r="E113" s="171"/>
    </row>
    <row r="114" spans="1:5" ht="16.5" customHeight="1">
      <c r="A114" s="27"/>
      <c r="B114" s="27"/>
      <c r="C114" s="171">
        <v>71</v>
      </c>
      <c r="D114" s="171">
        <v>791</v>
      </c>
      <c r="E114" s="171"/>
    </row>
    <row r="115" spans="1:5" ht="16.5" customHeight="1">
      <c r="A115" s="27"/>
      <c r="B115" s="27"/>
      <c r="C115" s="171"/>
      <c r="D115" s="171"/>
      <c r="E115" s="171"/>
    </row>
    <row r="116" spans="1:5" ht="16.5" customHeight="1">
      <c r="A116" s="27"/>
      <c r="B116" s="27" t="s">
        <v>100</v>
      </c>
      <c r="C116" s="171">
        <v>791</v>
      </c>
      <c r="D116" s="171">
        <v>901</v>
      </c>
      <c r="E116" s="171"/>
    </row>
    <row r="117" spans="1:5" ht="16.5" customHeight="1">
      <c r="A117" s="27"/>
      <c r="B117" s="27"/>
      <c r="C117" s="171">
        <v>791</v>
      </c>
      <c r="D117" s="171">
        <v>902</v>
      </c>
      <c r="E117" s="171"/>
    </row>
    <row r="118" spans="1:5" ht="16.5" customHeight="1">
      <c r="A118" s="27"/>
      <c r="B118" s="27"/>
      <c r="C118" s="171">
        <v>791</v>
      </c>
      <c r="D118" s="171">
        <v>92</v>
      </c>
      <c r="E118" s="171"/>
    </row>
    <row r="119" spans="1:5" ht="16.5" customHeight="1">
      <c r="A119" s="24"/>
      <c r="B119" s="27"/>
      <c r="C119" s="171">
        <v>791</v>
      </c>
      <c r="D119" s="171">
        <v>93</v>
      </c>
      <c r="E119" s="171"/>
    </row>
    <row r="120" spans="1:5" ht="16.5" customHeight="1">
      <c r="A120" s="24"/>
      <c r="B120" s="27"/>
      <c r="C120" s="171">
        <v>791</v>
      </c>
      <c r="D120" s="171">
        <v>94</v>
      </c>
      <c r="E120" s="171"/>
    </row>
    <row r="121" spans="1:5" ht="16.5" customHeight="1">
      <c r="A121" s="24"/>
      <c r="B121" s="27"/>
      <c r="C121" s="171">
        <v>791</v>
      </c>
      <c r="D121" s="171">
        <v>98</v>
      </c>
      <c r="E121" s="171"/>
    </row>
    <row r="122" spans="1:5" ht="16.5" customHeight="1">
      <c r="A122" s="24"/>
      <c r="B122" s="27" t="s">
        <v>101</v>
      </c>
      <c r="C122" s="171">
        <v>73</v>
      </c>
      <c r="D122" s="171">
        <v>792</v>
      </c>
      <c r="E122" s="171"/>
    </row>
    <row r="123" spans="1:5" ht="16.5" customHeight="1">
      <c r="A123" s="24"/>
      <c r="B123" s="27" t="s">
        <v>102</v>
      </c>
      <c r="C123" s="171">
        <v>792</v>
      </c>
      <c r="D123" s="171">
        <v>95</v>
      </c>
      <c r="E123" s="171"/>
    </row>
    <row r="124" spans="1:5" ht="16.5" customHeight="1">
      <c r="A124" s="24"/>
      <c r="B124" s="27" t="s">
        <v>103</v>
      </c>
      <c r="C124" s="171">
        <v>74</v>
      </c>
      <c r="D124" s="171">
        <v>793</v>
      </c>
      <c r="E124" s="171"/>
    </row>
    <row r="125" spans="1:5" ht="16.5" customHeight="1">
      <c r="A125" s="24"/>
      <c r="B125" s="27" t="s">
        <v>104</v>
      </c>
      <c r="C125" s="171">
        <v>793</v>
      </c>
      <c r="D125" s="171">
        <v>97</v>
      </c>
      <c r="E125" s="171"/>
    </row>
  </sheetData>
  <mergeCells count="29">
    <mergeCell ref="A72:A73"/>
    <mergeCell ref="A57:A58"/>
    <mergeCell ref="A59:A61"/>
    <mergeCell ref="A3:A5"/>
    <mergeCell ref="A6:A8"/>
    <mergeCell ref="A10:A11"/>
    <mergeCell ref="A12:A14"/>
    <mergeCell ref="A15:A16"/>
    <mergeCell ref="A17:A19"/>
    <mergeCell ref="A23:A24"/>
    <mergeCell ref="A26:A28"/>
    <mergeCell ref="A30:A32"/>
    <mergeCell ref="A33:A36"/>
    <mergeCell ref="A37:A40"/>
    <mergeCell ref="A45:A51"/>
    <mergeCell ref="A64:A65"/>
    <mergeCell ref="A100:A104"/>
    <mergeCell ref="A41:A43"/>
    <mergeCell ref="A68:A71"/>
    <mergeCell ref="A88:A89"/>
    <mergeCell ref="A78:A82"/>
    <mergeCell ref="A84:A86"/>
    <mergeCell ref="A52:A54"/>
    <mergeCell ref="A74:A76"/>
    <mergeCell ref="A105:A106"/>
    <mergeCell ref="A107:A108"/>
    <mergeCell ref="A90:A92"/>
    <mergeCell ref="A94:A95"/>
    <mergeCell ref="A96:A99"/>
  </mergeCells>
  <printOptions/>
  <pageMargins left="0.75" right="0.32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4">
      <selection activeCell="W17" sqref="W17"/>
    </sheetView>
  </sheetViews>
  <sheetFormatPr defaultColWidth="9.00390625" defaultRowHeight="12.75"/>
  <cols>
    <col min="1" max="1" width="10.125" style="20" customWidth="1"/>
    <col min="2" max="5" width="15.875" style="20" customWidth="1"/>
    <col min="6" max="7" width="16.75390625" style="20" customWidth="1"/>
    <col min="8" max="8" width="21.375" style="20" hidden="1" customWidth="1"/>
    <col min="9" max="9" width="13.25390625" style="20" hidden="1" customWidth="1"/>
    <col min="10" max="10" width="13.375" style="20" hidden="1" customWidth="1"/>
    <col min="11" max="14" width="9.125" style="20" hidden="1" customWidth="1"/>
    <col min="15" max="16" width="10.75390625" style="20" hidden="1" customWidth="1"/>
    <col min="17" max="17" width="9.125" style="20" hidden="1" customWidth="1"/>
    <col min="18" max="19" width="0" style="20" hidden="1" customWidth="1"/>
    <col min="20" max="16384" width="9.125" style="20" customWidth="1"/>
  </cols>
  <sheetData>
    <row r="1" spans="1:9" ht="15">
      <c r="A1" s="209" t="s">
        <v>105</v>
      </c>
      <c r="B1" s="209"/>
      <c r="C1" s="209"/>
      <c r="D1" s="209"/>
      <c r="E1" s="209"/>
      <c r="F1" s="209"/>
      <c r="G1" s="209"/>
      <c r="H1" s="1"/>
      <c r="I1" s="1"/>
    </row>
    <row r="2" spans="1:9" ht="15">
      <c r="A2" s="2"/>
      <c r="B2" s="4" t="s">
        <v>0</v>
      </c>
      <c r="C2" s="4" t="s">
        <v>1</v>
      </c>
      <c r="D2" s="4" t="s">
        <v>0</v>
      </c>
      <c r="E2" s="4" t="s">
        <v>1</v>
      </c>
      <c r="F2" s="4" t="s">
        <v>0</v>
      </c>
      <c r="G2" s="22" t="s">
        <v>1</v>
      </c>
      <c r="H2" s="1"/>
      <c r="I2" s="1"/>
    </row>
    <row r="3" spans="1:10" ht="15">
      <c r="A3" s="5" t="s">
        <v>55</v>
      </c>
      <c r="B3" s="6">
        <v>1250500</v>
      </c>
      <c r="C3" s="7"/>
      <c r="D3" s="7"/>
      <c r="E3" s="7"/>
      <c r="F3" s="8">
        <f aca="true" t="shared" si="0" ref="F3:F9">B3+D3-E3</f>
        <v>1250500</v>
      </c>
      <c r="G3" s="9"/>
      <c r="H3" s="10"/>
      <c r="I3" s="10">
        <f>SUM(B3:B8)</f>
        <v>7949500</v>
      </c>
      <c r="J3" s="113">
        <f>SUM(F3:F8)</f>
        <v>7942667</v>
      </c>
    </row>
    <row r="4" spans="1:9" ht="15">
      <c r="A4" s="11" t="s">
        <v>56</v>
      </c>
      <c r="B4" s="8">
        <v>2500000</v>
      </c>
      <c r="C4" s="12"/>
      <c r="D4" s="8">
        <v>375000</v>
      </c>
      <c r="E4" s="12"/>
      <c r="F4" s="8">
        <f t="shared" si="0"/>
        <v>2875000</v>
      </c>
      <c r="G4" s="13"/>
      <c r="H4" s="10"/>
      <c r="I4" s="10"/>
    </row>
    <row r="5" spans="1:9" ht="15">
      <c r="A5" s="11" t="s">
        <v>57</v>
      </c>
      <c r="B5" s="8">
        <v>1099000</v>
      </c>
      <c r="C5" s="12"/>
      <c r="D5" s="12"/>
      <c r="E5" s="12"/>
      <c r="F5" s="8">
        <f t="shared" si="0"/>
        <v>1099000</v>
      </c>
      <c r="G5" s="13"/>
      <c r="H5" s="10"/>
      <c r="I5" s="10"/>
    </row>
    <row r="6" spans="1:9" ht="15">
      <c r="A6" s="11" t="s">
        <v>58</v>
      </c>
      <c r="B6" s="8">
        <v>3000000</v>
      </c>
      <c r="C6" s="8"/>
      <c r="D6" s="8"/>
      <c r="E6" s="8">
        <v>300000</v>
      </c>
      <c r="F6" s="8">
        <f t="shared" si="0"/>
        <v>2700000</v>
      </c>
      <c r="G6" s="14"/>
      <c r="H6" s="10"/>
      <c r="I6" s="10"/>
    </row>
    <row r="7" spans="1:9" ht="15">
      <c r="A7" s="11" t="s">
        <v>78</v>
      </c>
      <c r="B7" s="8">
        <v>100000</v>
      </c>
      <c r="C7" s="8"/>
      <c r="D7" s="8"/>
      <c r="E7" s="8">
        <v>100000</v>
      </c>
      <c r="F7" s="8">
        <f t="shared" si="0"/>
        <v>0</v>
      </c>
      <c r="G7" s="14"/>
      <c r="H7" s="10"/>
      <c r="I7" s="10"/>
    </row>
    <row r="8" spans="1:9" ht="15">
      <c r="A8" s="11" t="s">
        <v>86</v>
      </c>
      <c r="B8" s="8"/>
      <c r="C8" s="8"/>
      <c r="D8" s="8">
        <v>18167</v>
      </c>
      <c r="E8" s="8"/>
      <c r="F8" s="8">
        <f t="shared" si="0"/>
        <v>18167</v>
      </c>
      <c r="G8" s="14"/>
      <c r="H8" s="10"/>
      <c r="I8" s="10"/>
    </row>
    <row r="9" spans="1:9" ht="15">
      <c r="A9" s="11">
        <v>152</v>
      </c>
      <c r="B9" s="8">
        <v>12200</v>
      </c>
      <c r="C9" s="8"/>
      <c r="D9" s="8">
        <f>17667+500</f>
        <v>18167</v>
      </c>
      <c r="E9" s="8">
        <v>18167</v>
      </c>
      <c r="F9" s="8">
        <f t="shared" si="0"/>
        <v>12200</v>
      </c>
      <c r="G9" s="14"/>
      <c r="H9" s="10"/>
      <c r="I9" s="10"/>
    </row>
    <row r="10" spans="1:10" ht="15">
      <c r="A10" s="11" t="s">
        <v>54</v>
      </c>
      <c r="B10" s="8"/>
      <c r="C10" s="8">
        <v>450000</v>
      </c>
      <c r="D10" s="8"/>
      <c r="E10" s="8">
        <v>62520</v>
      </c>
      <c r="F10" s="8"/>
      <c r="G10" s="14">
        <f>C10+E10-D10</f>
        <v>512520</v>
      </c>
      <c r="H10" s="10"/>
      <c r="I10" s="10">
        <f>SUM(C10:C14)</f>
        <v>4130300</v>
      </c>
      <c r="J10" s="113">
        <f>SUM(G10:G14)</f>
        <v>4476516</v>
      </c>
    </row>
    <row r="11" spans="1:9" ht="15">
      <c r="A11" s="11" t="s">
        <v>82</v>
      </c>
      <c r="B11" s="8"/>
      <c r="C11" s="8">
        <v>1000000</v>
      </c>
      <c r="D11" s="28"/>
      <c r="E11" s="28">
        <f>150000+143748</f>
        <v>293748</v>
      </c>
      <c r="F11" s="8"/>
      <c r="G11" s="14">
        <f>C11+E11-D11</f>
        <v>1293748</v>
      </c>
      <c r="H11" s="10"/>
      <c r="I11" s="10"/>
    </row>
    <row r="12" spans="1:9" ht="15">
      <c r="A12" s="11" t="s">
        <v>83</v>
      </c>
      <c r="B12" s="8"/>
      <c r="C12" s="8">
        <v>1400300</v>
      </c>
      <c r="D12" s="8"/>
      <c r="E12" s="8">
        <v>54948</v>
      </c>
      <c r="F12" s="8"/>
      <c r="G12" s="14">
        <f>C12+E12-D12</f>
        <v>1455248</v>
      </c>
      <c r="H12" s="10"/>
      <c r="I12" s="10"/>
    </row>
    <row r="13" spans="1:9" ht="15">
      <c r="A13" s="11" t="s">
        <v>84</v>
      </c>
      <c r="B13" s="8"/>
      <c r="C13" s="8">
        <v>1200000</v>
      </c>
      <c r="D13" s="8">
        <v>120000</v>
      </c>
      <c r="E13" s="8">
        <v>135000</v>
      </c>
      <c r="F13" s="8"/>
      <c r="G13" s="14">
        <f>C13+E13-D13</f>
        <v>1215000</v>
      </c>
      <c r="H13" s="10"/>
      <c r="I13" s="10"/>
    </row>
    <row r="14" spans="1:9" ht="15">
      <c r="A14" s="11" t="s">
        <v>79</v>
      </c>
      <c r="B14" s="8"/>
      <c r="C14" s="8">
        <v>80000</v>
      </c>
      <c r="D14" s="8">
        <v>80000</v>
      </c>
      <c r="E14" s="8"/>
      <c r="F14" s="8"/>
      <c r="G14" s="14">
        <f>C14+E14-D14</f>
        <v>0</v>
      </c>
      <c r="H14" s="10"/>
      <c r="I14" s="10"/>
    </row>
    <row r="15" spans="1:10" ht="15">
      <c r="A15" s="11">
        <v>201</v>
      </c>
      <c r="B15" s="8">
        <v>25200</v>
      </c>
      <c r="C15" s="8"/>
      <c r="D15" s="8">
        <v>75250</v>
      </c>
      <c r="E15" s="8">
        <v>73000</v>
      </c>
      <c r="F15" s="8">
        <f aca="true" t="shared" si="1" ref="F15:F27">B15+D15-E15</f>
        <v>27450</v>
      </c>
      <c r="G15" s="14"/>
      <c r="H15" s="10">
        <f>F15-B15</f>
        <v>2250</v>
      </c>
      <c r="I15" s="10">
        <f>SUM(B15:B19)</f>
        <v>127600</v>
      </c>
      <c r="J15" s="113">
        <f>SUM(F15:F19)</f>
        <v>365548</v>
      </c>
    </row>
    <row r="16" spans="1:9" ht="15">
      <c r="A16" s="11">
        <v>203</v>
      </c>
      <c r="B16" s="8">
        <v>2400</v>
      </c>
      <c r="C16" s="8"/>
      <c r="D16" s="8"/>
      <c r="E16" s="8">
        <v>2000</v>
      </c>
      <c r="F16" s="8">
        <f t="shared" si="1"/>
        <v>400</v>
      </c>
      <c r="G16" s="14"/>
      <c r="H16" s="10">
        <f>F16-B16</f>
        <v>-2000</v>
      </c>
      <c r="I16" s="10"/>
    </row>
    <row r="17" spans="1:12" ht="15">
      <c r="A17" s="11">
        <v>23</v>
      </c>
      <c r="B17" s="8"/>
      <c r="C17" s="8"/>
      <c r="D17" s="8">
        <f>75000+28500+73000+311198</f>
        <v>487698</v>
      </c>
      <c r="E17" s="8">
        <v>278637</v>
      </c>
      <c r="F17" s="8">
        <f t="shared" si="1"/>
        <v>209061</v>
      </c>
      <c r="G17" s="14"/>
      <c r="H17" s="10">
        <f>F17-B17</f>
        <v>209061</v>
      </c>
      <c r="I17" s="10"/>
      <c r="J17" s="1"/>
      <c r="K17" s="1"/>
      <c r="L17" s="1"/>
    </row>
    <row r="18" spans="1:12" ht="15">
      <c r="A18" s="11">
        <v>26</v>
      </c>
      <c r="B18" s="8">
        <v>40000</v>
      </c>
      <c r="C18" s="8"/>
      <c r="D18" s="8">
        <f>278637</f>
        <v>278637</v>
      </c>
      <c r="E18" s="8">
        <v>235000</v>
      </c>
      <c r="F18" s="8">
        <f t="shared" si="1"/>
        <v>83637</v>
      </c>
      <c r="G18" s="14"/>
      <c r="H18" s="10">
        <f>F18-B18</f>
        <v>43637</v>
      </c>
      <c r="I18" s="10"/>
      <c r="J18" s="1"/>
      <c r="K18" s="1"/>
      <c r="L18" s="1"/>
    </row>
    <row r="19" spans="1:12" ht="15">
      <c r="A19" s="11">
        <v>281</v>
      </c>
      <c r="B19" s="8">
        <v>60000</v>
      </c>
      <c r="C19" s="8"/>
      <c r="D19" s="8">
        <f>35250</f>
        <v>35250</v>
      </c>
      <c r="E19" s="8">
        <f>50000-500+750</f>
        <v>50250</v>
      </c>
      <c r="F19" s="8">
        <f t="shared" si="1"/>
        <v>45000</v>
      </c>
      <c r="G19" s="14"/>
      <c r="H19" s="10">
        <f>F19-B19</f>
        <v>-15000</v>
      </c>
      <c r="I19" s="10"/>
      <c r="J19" s="1"/>
      <c r="K19" s="1"/>
      <c r="L19" s="1"/>
    </row>
    <row r="20" spans="1:12" ht="15">
      <c r="A20" s="11">
        <v>286</v>
      </c>
      <c r="B20" s="8">
        <v>12750</v>
      </c>
      <c r="C20" s="8"/>
      <c r="D20" s="8">
        <v>20000</v>
      </c>
      <c r="E20" s="8">
        <v>20000</v>
      </c>
      <c r="F20" s="8">
        <f t="shared" si="1"/>
        <v>12750</v>
      </c>
      <c r="G20" s="14"/>
      <c r="H20" s="10"/>
      <c r="I20" s="10"/>
      <c r="J20" s="1"/>
      <c r="K20" s="1"/>
      <c r="L20" s="1"/>
    </row>
    <row r="21" spans="1:12" ht="15">
      <c r="A21" s="11">
        <v>301</v>
      </c>
      <c r="B21" s="8">
        <v>300</v>
      </c>
      <c r="C21" s="8"/>
      <c r="D21" s="8">
        <v>15000</v>
      </c>
      <c r="E21" s="8">
        <f>5000+10000</f>
        <v>15000</v>
      </c>
      <c r="F21" s="8">
        <f t="shared" si="1"/>
        <v>300</v>
      </c>
      <c r="G21" s="14"/>
      <c r="H21" s="10"/>
      <c r="I21" s="10"/>
      <c r="J21" s="15"/>
      <c r="K21" s="15"/>
      <c r="L21" s="15"/>
    </row>
    <row r="22" spans="1:12" ht="15">
      <c r="A22" s="11">
        <v>311</v>
      </c>
      <c r="B22" s="8">
        <v>22870</v>
      </c>
      <c r="C22" s="8"/>
      <c r="D22" s="8">
        <f>95000+15000+450000+180000+500+400000</f>
        <v>1140500</v>
      </c>
      <c r="E22" s="8">
        <f>30000+18000+65000+15500+600+15000+775+12500+2100+12000+14500+1500+3000+3750+75000</f>
        <v>269225</v>
      </c>
      <c r="F22" s="8">
        <f t="shared" si="1"/>
        <v>894145</v>
      </c>
      <c r="G22" s="14"/>
      <c r="H22" s="10"/>
      <c r="I22" s="10"/>
      <c r="J22" s="16"/>
      <c r="K22" s="1"/>
      <c r="L22" s="1"/>
    </row>
    <row r="23" spans="1:12" ht="15">
      <c r="A23" s="11">
        <v>312</v>
      </c>
      <c r="B23" s="8">
        <v>52930</v>
      </c>
      <c r="C23" s="8"/>
      <c r="D23" s="8">
        <v>335</v>
      </c>
      <c r="E23" s="8"/>
      <c r="F23" s="8">
        <f t="shared" si="1"/>
        <v>53265</v>
      </c>
      <c r="G23" s="14"/>
      <c r="H23" s="10"/>
      <c r="I23" s="10"/>
      <c r="J23" s="16"/>
      <c r="K23" s="1"/>
      <c r="L23" s="1"/>
    </row>
    <row r="24" spans="1:12" ht="15">
      <c r="A24" s="11">
        <v>313</v>
      </c>
      <c r="B24" s="8"/>
      <c r="C24" s="8"/>
      <c r="D24" s="8">
        <v>75000</v>
      </c>
      <c r="E24" s="8"/>
      <c r="F24" s="8">
        <f t="shared" si="1"/>
        <v>75000</v>
      </c>
      <c r="G24" s="14"/>
      <c r="H24" s="10"/>
      <c r="I24" s="10"/>
      <c r="J24" s="16"/>
      <c r="K24" s="1"/>
      <c r="L24" s="1"/>
    </row>
    <row r="25" spans="1:12" ht="15">
      <c r="A25" s="11">
        <v>333</v>
      </c>
      <c r="B25" s="8">
        <v>240</v>
      </c>
      <c r="C25" s="8"/>
      <c r="D25" s="8">
        <v>240</v>
      </c>
      <c r="E25" s="8">
        <v>320</v>
      </c>
      <c r="F25" s="8">
        <f t="shared" si="1"/>
        <v>160</v>
      </c>
      <c r="G25" s="14"/>
      <c r="H25" s="10"/>
      <c r="I25" s="10"/>
      <c r="J25" s="16"/>
      <c r="K25" s="1"/>
      <c r="L25" s="1"/>
    </row>
    <row r="26" spans="1:12" ht="15">
      <c r="A26" s="11">
        <v>352</v>
      </c>
      <c r="B26" s="8">
        <v>14700</v>
      </c>
      <c r="C26" s="8"/>
      <c r="D26" s="8">
        <v>15000</v>
      </c>
      <c r="E26" s="8"/>
      <c r="F26" s="8">
        <f t="shared" si="1"/>
        <v>29700</v>
      </c>
      <c r="G26" s="14"/>
      <c r="H26" s="10"/>
      <c r="I26" s="10"/>
      <c r="J26" s="16"/>
      <c r="K26" s="1"/>
      <c r="L26" s="1"/>
    </row>
    <row r="27" spans="1:12" ht="15">
      <c r="A27" s="11">
        <v>361</v>
      </c>
      <c r="B27" s="8">
        <v>34500</v>
      </c>
      <c r="C27" s="8"/>
      <c r="D27" s="28">
        <f>120000+690300+45000</f>
        <v>855300</v>
      </c>
      <c r="E27" s="8">
        <f>1500+95000+2500+450000</f>
        <v>549000</v>
      </c>
      <c r="F27" s="8">
        <f t="shared" si="1"/>
        <v>340800</v>
      </c>
      <c r="G27" s="14"/>
      <c r="H27" s="10">
        <f>F27-B27-G28+C28</f>
        <v>306700</v>
      </c>
      <c r="I27" s="10"/>
      <c r="J27" s="111"/>
      <c r="K27" s="1"/>
      <c r="L27" s="1"/>
    </row>
    <row r="28" spans="1:12" ht="15">
      <c r="A28" s="11">
        <v>38</v>
      </c>
      <c r="B28" s="8"/>
      <c r="C28" s="8">
        <v>7500</v>
      </c>
      <c r="D28" s="8">
        <v>2500</v>
      </c>
      <c r="E28" s="8">
        <v>2100</v>
      </c>
      <c r="F28" s="8"/>
      <c r="G28" s="14">
        <f>C28+E28-D28</f>
        <v>7100</v>
      </c>
      <c r="H28" s="10"/>
      <c r="I28" s="10"/>
      <c r="J28" s="16"/>
      <c r="K28" s="1"/>
      <c r="L28" s="1"/>
    </row>
    <row r="29" spans="1:15" ht="15">
      <c r="A29" s="11">
        <v>371</v>
      </c>
      <c r="B29" s="8"/>
      <c r="C29" s="8"/>
      <c r="D29" s="8">
        <f>18000+600</f>
        <v>18600</v>
      </c>
      <c r="E29" s="8">
        <v>600</v>
      </c>
      <c r="F29" s="8">
        <f>B29+D29-E29</f>
        <v>18000</v>
      </c>
      <c r="G29" s="14"/>
      <c r="H29" s="10"/>
      <c r="I29" s="10"/>
      <c r="J29" s="1"/>
      <c r="K29" s="1"/>
      <c r="L29" s="1"/>
      <c r="O29" s="113">
        <f>SUM(F29:F31)</f>
        <v>18750</v>
      </c>
    </row>
    <row r="30" spans="1:12" ht="15">
      <c r="A30" s="11">
        <v>372</v>
      </c>
      <c r="B30" s="8">
        <v>2750</v>
      </c>
      <c r="C30" s="8"/>
      <c r="D30" s="8">
        <v>5000</v>
      </c>
      <c r="E30" s="8">
        <f>1180+120+4850+550+240+60</f>
        <v>7000</v>
      </c>
      <c r="F30" s="8">
        <f>B30+D30-E30</f>
        <v>750</v>
      </c>
      <c r="G30" s="14"/>
      <c r="H30" s="10"/>
      <c r="I30" s="10"/>
      <c r="J30" s="1"/>
      <c r="K30" s="1"/>
      <c r="L30" s="1"/>
    </row>
    <row r="31" spans="1:12" ht="15">
      <c r="A31" s="11">
        <v>377</v>
      </c>
      <c r="B31" s="8"/>
      <c r="C31" s="8"/>
      <c r="D31" s="8"/>
      <c r="E31" s="8"/>
      <c r="F31" s="8">
        <f>B31+D31-E31</f>
        <v>0</v>
      </c>
      <c r="G31" s="14"/>
      <c r="H31" s="10"/>
      <c r="I31" s="10"/>
      <c r="J31" s="1"/>
      <c r="K31" s="1"/>
      <c r="L31" s="1"/>
    </row>
    <row r="32" spans="1:12" ht="15">
      <c r="A32" s="11">
        <v>39</v>
      </c>
      <c r="B32" s="8">
        <v>750</v>
      </c>
      <c r="C32" s="8"/>
      <c r="D32" s="8">
        <v>500</v>
      </c>
      <c r="E32" s="8">
        <v>540</v>
      </c>
      <c r="F32" s="8">
        <f>B32+D32-E32</f>
        <v>710</v>
      </c>
      <c r="G32" s="14"/>
      <c r="H32" s="10"/>
      <c r="I32" s="10"/>
      <c r="J32" s="1"/>
      <c r="K32" s="1"/>
      <c r="L32" s="1"/>
    </row>
    <row r="33" spans="1:11" ht="15">
      <c r="A33" s="173">
        <v>40</v>
      </c>
      <c r="B33" s="174"/>
      <c r="C33" s="174">
        <v>2500000</v>
      </c>
      <c r="D33" s="174"/>
      <c r="E33" s="174">
        <v>450000</v>
      </c>
      <c r="F33" s="174"/>
      <c r="G33" s="175">
        <f>C33+E33-D33</f>
        <v>2950000</v>
      </c>
      <c r="H33" s="10"/>
      <c r="I33" s="10"/>
      <c r="J33" s="1"/>
      <c r="K33" s="1"/>
    </row>
    <row r="34" spans="1:11" ht="15">
      <c r="A34" s="173">
        <v>411</v>
      </c>
      <c r="B34" s="174"/>
      <c r="C34" s="174">
        <v>145000</v>
      </c>
      <c r="D34" s="174">
        <v>145000</v>
      </c>
      <c r="E34" s="174">
        <v>225000</v>
      </c>
      <c r="F34" s="174"/>
      <c r="G34" s="175">
        <f aca="true" t="shared" si="2" ref="G34:G62">C34+E34-D34</f>
        <v>225000</v>
      </c>
      <c r="H34" s="10"/>
      <c r="I34" s="10"/>
      <c r="J34" s="1"/>
      <c r="K34" s="1"/>
    </row>
    <row r="35" spans="1:11" ht="15">
      <c r="A35" s="173">
        <v>441</v>
      </c>
      <c r="B35" s="174"/>
      <c r="C35" s="174">
        <v>1385190</v>
      </c>
      <c r="D35" s="174"/>
      <c r="E35" s="174"/>
      <c r="F35" s="174"/>
      <c r="G35" s="175">
        <f t="shared" si="2"/>
        <v>1385190</v>
      </c>
      <c r="H35" s="10"/>
      <c r="I35" s="10"/>
      <c r="J35" s="1"/>
      <c r="K35" s="1"/>
    </row>
    <row r="36" spans="1:11" ht="15">
      <c r="A36" s="173">
        <v>443</v>
      </c>
      <c r="B36" s="174"/>
      <c r="C36" s="174"/>
      <c r="D36" s="174">
        <v>15000</v>
      </c>
      <c r="E36" s="174"/>
      <c r="F36" s="174">
        <f>D36-E36</f>
        <v>15000</v>
      </c>
      <c r="G36" s="175"/>
      <c r="H36" s="10"/>
      <c r="I36" s="10"/>
      <c r="J36" s="1"/>
      <c r="K36" s="1"/>
    </row>
    <row r="37" spans="1:11" ht="15">
      <c r="A37" s="173">
        <v>46</v>
      </c>
      <c r="B37" s="174"/>
      <c r="C37" s="174"/>
      <c r="D37" s="174">
        <v>450000</v>
      </c>
      <c r="E37" s="174">
        <v>400000</v>
      </c>
      <c r="F37" s="174">
        <f>B37+D37-E37</f>
        <v>50000</v>
      </c>
      <c r="G37" s="175"/>
      <c r="H37" s="10"/>
      <c r="I37" s="10"/>
      <c r="J37" s="1"/>
      <c r="K37" s="15"/>
    </row>
    <row r="38" spans="1:11" ht="15">
      <c r="A38" s="11">
        <v>501</v>
      </c>
      <c r="B38" s="8"/>
      <c r="C38" s="8"/>
      <c r="D38" s="28">
        <v>50000</v>
      </c>
      <c r="E38" s="28">
        <v>180000</v>
      </c>
      <c r="F38" s="8"/>
      <c r="G38" s="14">
        <f t="shared" si="2"/>
        <v>130000</v>
      </c>
      <c r="H38" s="10"/>
      <c r="I38" s="10"/>
      <c r="J38" s="1"/>
      <c r="K38" s="1"/>
    </row>
    <row r="39" spans="1:11" ht="15">
      <c r="A39" s="11">
        <v>54</v>
      </c>
      <c r="B39" s="8"/>
      <c r="C39" s="8">
        <v>14200</v>
      </c>
      <c r="D39" s="28"/>
      <c r="E39" s="28"/>
      <c r="F39" s="8"/>
      <c r="G39" s="14">
        <f t="shared" si="2"/>
        <v>14200</v>
      </c>
      <c r="H39" s="10"/>
      <c r="I39" s="10"/>
      <c r="J39" s="1"/>
      <c r="K39" s="1"/>
    </row>
    <row r="40" spans="1:11" ht="15">
      <c r="A40" s="11">
        <v>611</v>
      </c>
      <c r="B40" s="8"/>
      <c r="C40" s="8"/>
      <c r="D40" s="28">
        <v>12500</v>
      </c>
      <c r="E40" s="28">
        <v>50000</v>
      </c>
      <c r="F40" s="8"/>
      <c r="G40" s="14">
        <f t="shared" si="2"/>
        <v>37500</v>
      </c>
      <c r="H40" s="10"/>
      <c r="I40" s="10"/>
      <c r="J40" s="1"/>
      <c r="K40" s="1"/>
    </row>
    <row r="41" spans="1:11" ht="15">
      <c r="A41" s="11">
        <v>6311</v>
      </c>
      <c r="B41" s="8"/>
      <c r="C41" s="8">
        <v>22800</v>
      </c>
      <c r="D41" s="28">
        <f>30000+65000</f>
        <v>95000</v>
      </c>
      <c r="E41" s="28">
        <f>35250+7050+750+150+600+120+75250+15050</f>
        <v>134220</v>
      </c>
      <c r="F41" s="8"/>
      <c r="G41" s="14">
        <f t="shared" si="2"/>
        <v>62020</v>
      </c>
      <c r="H41" s="10"/>
      <c r="I41" s="10"/>
      <c r="J41" s="1"/>
      <c r="K41" s="1"/>
    </row>
    <row r="42" spans="1:11" ht="15">
      <c r="A42" s="11">
        <v>6312</v>
      </c>
      <c r="B42" s="8"/>
      <c r="C42" s="8"/>
      <c r="D42" s="28">
        <v>15500</v>
      </c>
      <c r="E42" s="28">
        <f>17667++500+3533</f>
        <v>21700</v>
      </c>
      <c r="F42" s="8"/>
      <c r="G42" s="14">
        <f t="shared" si="2"/>
        <v>6200</v>
      </c>
      <c r="H42" s="10"/>
      <c r="I42" s="10"/>
      <c r="J42" s="1"/>
      <c r="K42" s="1"/>
    </row>
    <row r="43" spans="1:11" ht="15">
      <c r="A43" s="11">
        <v>6411</v>
      </c>
      <c r="B43" s="8"/>
      <c r="C43" s="8">
        <v>1500</v>
      </c>
      <c r="D43" s="28">
        <v>1500</v>
      </c>
      <c r="E43" s="28">
        <v>17352</v>
      </c>
      <c r="F43" s="8"/>
      <c r="G43" s="14">
        <f t="shared" si="2"/>
        <v>17352</v>
      </c>
      <c r="H43" s="10"/>
      <c r="I43" s="10"/>
      <c r="J43" s="1"/>
      <c r="K43" s="1"/>
    </row>
    <row r="44" spans="1:11" ht="15">
      <c r="A44" s="11">
        <v>6412</v>
      </c>
      <c r="B44" s="8"/>
      <c r="C44" s="8">
        <v>3000</v>
      </c>
      <c r="D44" s="28">
        <f>7050+120+550+60+14500+150+120+15050</f>
        <v>37600</v>
      </c>
      <c r="E44" s="28">
        <f>20000-250+2500+115050</f>
        <v>137300</v>
      </c>
      <c r="F44" s="8"/>
      <c r="G44" s="14">
        <f t="shared" si="2"/>
        <v>102700</v>
      </c>
      <c r="H44" s="10"/>
      <c r="I44" s="10"/>
      <c r="J44" s="1"/>
      <c r="K44" s="1"/>
    </row>
    <row r="45" spans="1:11" ht="15">
      <c r="A45" s="11">
        <v>6413</v>
      </c>
      <c r="B45" s="8"/>
      <c r="C45" s="8"/>
      <c r="D45" s="8">
        <v>3000</v>
      </c>
      <c r="E45" s="8">
        <v>5000</v>
      </c>
      <c r="F45" s="8"/>
      <c r="G45" s="14">
        <f t="shared" si="2"/>
        <v>2000</v>
      </c>
      <c r="H45" s="10"/>
      <c r="I45" s="10"/>
      <c r="J45" s="1"/>
      <c r="K45" s="1"/>
    </row>
    <row r="46" spans="1:11" ht="15">
      <c r="A46" s="11">
        <v>6415</v>
      </c>
      <c r="B46" s="8"/>
      <c r="C46" s="8">
        <v>14500</v>
      </c>
      <c r="D46" s="8"/>
      <c r="E46" s="8">
        <v>7500</v>
      </c>
      <c r="F46" s="8"/>
      <c r="G46" s="14">
        <f t="shared" si="2"/>
        <v>22000</v>
      </c>
      <c r="H46" s="10"/>
      <c r="I46" s="10"/>
      <c r="J46" s="1"/>
      <c r="K46" s="1"/>
    </row>
    <row r="47" spans="1:16" ht="15">
      <c r="A47" s="11">
        <v>642</v>
      </c>
      <c r="B47" s="8"/>
      <c r="C47" s="8"/>
      <c r="D47" s="8"/>
      <c r="E47" s="8">
        <v>1800</v>
      </c>
      <c r="F47" s="8"/>
      <c r="G47" s="14">
        <f t="shared" si="2"/>
        <v>1800</v>
      </c>
      <c r="H47" s="10"/>
      <c r="I47" s="10"/>
      <c r="J47" s="1"/>
      <c r="K47" s="1"/>
      <c r="P47" s="113">
        <f>G49+G53+G54+G56</f>
        <v>36000</v>
      </c>
    </row>
    <row r="48" spans="1:11" ht="15">
      <c r="A48" s="11">
        <v>643</v>
      </c>
      <c r="B48" s="8"/>
      <c r="C48" s="8"/>
      <c r="D48" s="8">
        <v>2500</v>
      </c>
      <c r="E48" s="8"/>
      <c r="F48" s="8">
        <f>D48-E48</f>
        <v>2500</v>
      </c>
      <c r="G48" s="14"/>
      <c r="H48" s="10"/>
      <c r="I48" s="10"/>
      <c r="J48" s="1"/>
      <c r="K48" s="1"/>
    </row>
    <row r="49" spans="1:11" ht="15">
      <c r="A49" s="11">
        <v>6441</v>
      </c>
      <c r="B49" s="8"/>
      <c r="C49" s="8"/>
      <c r="D49" s="8">
        <v>100</v>
      </c>
      <c r="E49" s="8">
        <f>3000+100</f>
        <v>3100</v>
      </c>
      <c r="F49" s="8"/>
      <c r="G49" s="14">
        <f t="shared" si="2"/>
        <v>3000</v>
      </c>
      <c r="H49" s="10"/>
      <c r="I49" s="10"/>
      <c r="J49" s="1"/>
      <c r="K49" s="1"/>
    </row>
    <row r="50" spans="1:11" ht="15">
      <c r="A50" s="11">
        <v>6442</v>
      </c>
      <c r="B50" s="8"/>
      <c r="C50" s="8"/>
      <c r="D50" s="8">
        <f>7050+3000+150+120+15050+3533+100</f>
        <v>29003</v>
      </c>
      <c r="E50" s="8">
        <f>150+120+15050+7050</f>
        <v>22370</v>
      </c>
      <c r="F50" s="8">
        <f>D50-E50</f>
        <v>6633</v>
      </c>
      <c r="G50" s="14"/>
      <c r="H50" s="10"/>
      <c r="I50" s="10"/>
      <c r="J50" s="1"/>
      <c r="K50" s="1"/>
    </row>
    <row r="51" spans="1:11" ht="15">
      <c r="A51" s="11">
        <v>651</v>
      </c>
      <c r="B51" s="8">
        <v>5000</v>
      </c>
      <c r="C51" s="8"/>
      <c r="D51" s="8">
        <v>3750</v>
      </c>
      <c r="E51" s="8">
        <f>3800+5700+28500+7600+4320</f>
        <v>49920</v>
      </c>
      <c r="F51" s="8"/>
      <c r="G51" s="14">
        <f>C51-B51+E51-D51</f>
        <v>41170</v>
      </c>
      <c r="H51" s="10"/>
      <c r="I51" s="10"/>
      <c r="J51" s="1"/>
      <c r="K51" s="1"/>
    </row>
    <row r="52" spans="1:12" ht="15">
      <c r="A52" s="11">
        <v>661</v>
      </c>
      <c r="B52" s="8"/>
      <c r="C52" s="8">
        <v>10000</v>
      </c>
      <c r="D52" s="8">
        <f>17352+4320+1800+775+10000</f>
        <v>34247</v>
      </c>
      <c r="E52" s="8">
        <f>10000+15000+75000+20000</f>
        <v>120000</v>
      </c>
      <c r="F52" s="8"/>
      <c r="G52" s="14">
        <f t="shared" si="2"/>
        <v>95753</v>
      </c>
      <c r="H52" s="10"/>
      <c r="I52" s="10"/>
      <c r="J52" s="1"/>
      <c r="K52" s="1"/>
      <c r="L52" s="1"/>
    </row>
    <row r="53" spans="1:12" ht="15">
      <c r="A53" s="11">
        <v>671</v>
      </c>
      <c r="B53" s="8"/>
      <c r="C53" s="8"/>
      <c r="D53" s="8">
        <v>12000</v>
      </c>
      <c r="E53" s="8">
        <v>15000</v>
      </c>
      <c r="F53" s="8"/>
      <c r="G53" s="14">
        <f t="shared" si="2"/>
        <v>3000</v>
      </c>
      <c r="H53" s="10"/>
      <c r="I53" s="10"/>
      <c r="J53" s="1"/>
      <c r="K53" s="1"/>
      <c r="L53" s="1"/>
    </row>
    <row r="54" spans="1:12" ht="15">
      <c r="A54" s="11">
        <v>681</v>
      </c>
      <c r="B54" s="8"/>
      <c r="C54" s="8"/>
      <c r="D54" s="8"/>
      <c r="E54" s="8">
        <v>15000</v>
      </c>
      <c r="F54" s="8"/>
      <c r="G54" s="14">
        <f t="shared" si="2"/>
        <v>15000</v>
      </c>
      <c r="H54" s="10"/>
      <c r="I54" s="10"/>
      <c r="J54" s="1"/>
      <c r="K54" s="1"/>
      <c r="L54" s="1"/>
    </row>
    <row r="55" spans="1:12" ht="15">
      <c r="A55" s="11">
        <v>684</v>
      </c>
      <c r="B55" s="8"/>
      <c r="C55" s="8">
        <v>2100</v>
      </c>
      <c r="D55" s="8">
        <v>2100</v>
      </c>
      <c r="E55" s="8">
        <v>3125</v>
      </c>
      <c r="F55" s="8"/>
      <c r="G55" s="14">
        <f t="shared" si="2"/>
        <v>3125</v>
      </c>
      <c r="H55" s="10"/>
      <c r="I55" s="10"/>
      <c r="J55" s="1"/>
      <c r="K55" s="1"/>
      <c r="L55" s="1"/>
    </row>
    <row r="56" spans="1:12" ht="15">
      <c r="A56" s="11">
        <v>685</v>
      </c>
      <c r="B56" s="8"/>
      <c r="C56" s="8"/>
      <c r="D56" s="8">
        <v>775</v>
      </c>
      <c r="E56" s="8">
        <f>775+15000</f>
        <v>15775</v>
      </c>
      <c r="F56" s="8"/>
      <c r="G56" s="14">
        <f t="shared" si="2"/>
        <v>15000</v>
      </c>
      <c r="H56" s="10"/>
      <c r="I56" s="10"/>
      <c r="J56" s="1"/>
      <c r="K56" s="1"/>
      <c r="L56" s="1"/>
    </row>
    <row r="57" spans="1:21" ht="15">
      <c r="A57" s="11">
        <v>701</v>
      </c>
      <c r="B57" s="8"/>
      <c r="C57" s="8"/>
      <c r="D57" s="8">
        <v>115050</v>
      </c>
      <c r="E57" s="8">
        <v>690300</v>
      </c>
      <c r="F57" s="8"/>
      <c r="G57" s="14">
        <f t="shared" si="2"/>
        <v>575250</v>
      </c>
      <c r="H57" s="10"/>
      <c r="I57" s="10"/>
      <c r="J57" s="10">
        <f>G57+G58+G60+G61+G62</f>
        <v>713585</v>
      </c>
      <c r="K57" s="10"/>
      <c r="L57" s="1"/>
      <c r="U57" s="20">
        <v>292603</v>
      </c>
    </row>
    <row r="58" spans="1:12" ht="15">
      <c r="A58" s="11">
        <v>702</v>
      </c>
      <c r="B58" s="8"/>
      <c r="C58" s="8"/>
      <c r="D58" s="8">
        <v>20000</v>
      </c>
      <c r="E58" s="8">
        <v>120000</v>
      </c>
      <c r="F58" s="8"/>
      <c r="G58" s="14">
        <f t="shared" si="2"/>
        <v>100000</v>
      </c>
      <c r="H58" s="10"/>
      <c r="I58" s="10"/>
      <c r="J58" s="10">
        <f>SUM(F59:F77)</f>
        <v>509083</v>
      </c>
      <c r="K58" s="1"/>
      <c r="L58" s="1"/>
    </row>
    <row r="59" spans="1:12" ht="15">
      <c r="A59" s="11">
        <v>704</v>
      </c>
      <c r="B59" s="8"/>
      <c r="C59" s="8"/>
      <c r="D59" s="8">
        <f>1500-250</f>
        <v>1250</v>
      </c>
      <c r="E59" s="8"/>
      <c r="F59" s="8">
        <f>D59-E59</f>
        <v>1250</v>
      </c>
      <c r="G59" s="14"/>
      <c r="H59" s="10"/>
      <c r="I59" s="10"/>
      <c r="J59" s="19">
        <f>J57-J58</f>
        <v>204502</v>
      </c>
      <c r="K59" s="1"/>
      <c r="L59" s="1"/>
    </row>
    <row r="60" spans="1:12" ht="15">
      <c r="A60" s="11">
        <v>712</v>
      </c>
      <c r="B60" s="8"/>
      <c r="C60" s="8"/>
      <c r="D60" s="8">
        <v>7500</v>
      </c>
      <c r="E60" s="8">
        <v>45000</v>
      </c>
      <c r="F60" s="8"/>
      <c r="G60" s="14">
        <f t="shared" si="2"/>
        <v>37500</v>
      </c>
      <c r="H60" s="10"/>
      <c r="I60" s="10"/>
      <c r="J60" s="1"/>
      <c r="K60" s="10"/>
      <c r="L60" s="1"/>
    </row>
    <row r="61" spans="1:12" ht="15">
      <c r="A61" s="11">
        <v>714</v>
      </c>
      <c r="B61" s="8"/>
      <c r="C61" s="8"/>
      <c r="D61" s="8"/>
      <c r="E61" s="8">
        <v>335</v>
      </c>
      <c r="F61" s="8"/>
      <c r="G61" s="14">
        <f t="shared" si="2"/>
        <v>335</v>
      </c>
      <c r="H61" s="10"/>
      <c r="I61" s="10"/>
      <c r="J61" s="1"/>
      <c r="K61" s="1"/>
      <c r="L61" s="1"/>
    </row>
    <row r="62" spans="1:12" ht="15">
      <c r="A62" s="11">
        <v>732</v>
      </c>
      <c r="B62" s="8"/>
      <c r="C62" s="8"/>
      <c r="D62" s="8"/>
      <c r="E62" s="8">
        <v>500</v>
      </c>
      <c r="F62" s="8"/>
      <c r="G62" s="14">
        <f t="shared" si="2"/>
        <v>500</v>
      </c>
      <c r="H62" s="10"/>
      <c r="I62" s="10"/>
      <c r="J62" s="1"/>
      <c r="K62" s="1"/>
      <c r="L62" s="1"/>
    </row>
    <row r="63" spans="1:12" ht="15">
      <c r="A63" s="11">
        <v>901</v>
      </c>
      <c r="B63" s="8"/>
      <c r="C63" s="8"/>
      <c r="D63" s="8">
        <v>235000</v>
      </c>
      <c r="E63" s="8"/>
      <c r="F63" s="8">
        <f>B63+D63-E63</f>
        <v>235000</v>
      </c>
      <c r="G63" s="14"/>
      <c r="H63" s="10"/>
      <c r="I63" s="10"/>
      <c r="J63" s="1"/>
      <c r="K63" s="10"/>
      <c r="L63" s="10"/>
    </row>
    <row r="64" spans="1:12" ht="15">
      <c r="A64" s="11">
        <v>902</v>
      </c>
      <c r="B64" s="8"/>
      <c r="C64" s="8"/>
      <c r="D64" s="8">
        <f>50000-500</f>
        <v>49500</v>
      </c>
      <c r="E64" s="8"/>
      <c r="F64" s="8">
        <f>B64+D64-E64</f>
        <v>49500</v>
      </c>
      <c r="G64" s="14"/>
      <c r="H64" s="10"/>
      <c r="I64" s="10"/>
      <c r="J64" s="1"/>
      <c r="K64" s="1"/>
      <c r="L64" s="1"/>
    </row>
    <row r="65" spans="1:12" ht="15">
      <c r="A65" s="11">
        <v>91</v>
      </c>
      <c r="B65" s="8"/>
      <c r="C65" s="8"/>
      <c r="D65" s="8">
        <f>20000+7600+4850+278748</f>
        <v>311198</v>
      </c>
      <c r="E65" s="8">
        <f>D65</f>
        <v>311198</v>
      </c>
      <c r="F65" s="8">
        <f>B65+D65-E65</f>
        <v>0</v>
      </c>
      <c r="G65" s="14"/>
      <c r="H65" s="10"/>
      <c r="I65" s="10"/>
      <c r="J65" s="1"/>
      <c r="K65" s="1"/>
      <c r="L65" s="1"/>
    </row>
    <row r="66" spans="1:12" ht="15">
      <c r="A66" s="11">
        <v>92</v>
      </c>
      <c r="B66" s="8"/>
      <c r="C66" s="8"/>
      <c r="D66" s="8">
        <f>1180+600+10000+3800+62520+320+540</f>
        <v>78960</v>
      </c>
      <c r="E66" s="8"/>
      <c r="F66" s="8">
        <f>B66+D66-E66</f>
        <v>78960</v>
      </c>
      <c r="G66" s="14"/>
      <c r="H66" s="10"/>
      <c r="I66" s="10"/>
      <c r="J66" s="1"/>
      <c r="K66" s="1"/>
      <c r="L66" s="1"/>
    </row>
    <row r="67" spans="1:12" ht="15">
      <c r="A67" s="11">
        <v>93</v>
      </c>
      <c r="B67" s="8"/>
      <c r="C67" s="8"/>
      <c r="D67" s="8">
        <f>750+2000+15000+5700+54948</f>
        <v>78398</v>
      </c>
      <c r="E67" s="8"/>
      <c r="F67" s="8">
        <f aca="true" t="shared" si="3" ref="F67:F77">B67+D67-E67</f>
        <v>78398</v>
      </c>
      <c r="G67" s="14"/>
      <c r="H67" s="10"/>
      <c r="I67" s="10"/>
      <c r="J67" s="1"/>
      <c r="K67" s="1"/>
      <c r="L67" s="1"/>
    </row>
    <row r="68" spans="1:12" ht="15">
      <c r="A68" s="11">
        <v>943</v>
      </c>
      <c r="B68" s="8"/>
      <c r="C68" s="8"/>
      <c r="D68" s="8">
        <v>20000</v>
      </c>
      <c r="E68" s="8"/>
      <c r="F68" s="8">
        <f t="shared" si="3"/>
        <v>20000</v>
      </c>
      <c r="G68" s="14"/>
      <c r="H68" s="10"/>
      <c r="I68" s="10"/>
      <c r="J68" s="1"/>
      <c r="K68" s="10"/>
      <c r="L68" s="10"/>
    </row>
    <row r="69" spans="1:12" ht="15">
      <c r="A69" s="11">
        <v>944</v>
      </c>
      <c r="B69" s="8"/>
      <c r="C69" s="8"/>
      <c r="D69" s="8">
        <v>2100</v>
      </c>
      <c r="E69" s="8"/>
      <c r="F69" s="8">
        <f t="shared" si="3"/>
        <v>2100</v>
      </c>
      <c r="G69" s="14"/>
      <c r="H69" s="10"/>
      <c r="I69" s="10"/>
      <c r="J69" s="1"/>
      <c r="K69" s="1"/>
      <c r="L69" s="1"/>
    </row>
    <row r="70" spans="1:12" ht="15">
      <c r="A70" s="11">
        <v>946</v>
      </c>
      <c r="B70" s="8"/>
      <c r="C70" s="8"/>
      <c r="D70" s="8">
        <v>750</v>
      </c>
      <c r="E70" s="8"/>
      <c r="F70" s="8">
        <f t="shared" si="3"/>
        <v>750</v>
      </c>
      <c r="G70" s="14"/>
      <c r="H70" s="10"/>
      <c r="I70" s="10"/>
      <c r="J70" s="1"/>
      <c r="K70" s="1"/>
      <c r="L70" s="1"/>
    </row>
    <row r="71" spans="1:12" ht="15">
      <c r="A71" s="11">
        <v>951</v>
      </c>
      <c r="B71" s="8"/>
      <c r="C71" s="8"/>
      <c r="D71" s="8">
        <v>3125</v>
      </c>
      <c r="E71" s="8"/>
      <c r="F71" s="8">
        <f t="shared" si="3"/>
        <v>3125</v>
      </c>
      <c r="G71" s="14"/>
      <c r="H71" s="10"/>
      <c r="I71" s="10"/>
      <c r="J71" s="1"/>
      <c r="K71" s="1"/>
      <c r="L71" s="10"/>
    </row>
    <row r="72" spans="1:12" ht="15">
      <c r="A72" s="11">
        <v>971</v>
      </c>
      <c r="B72" s="8"/>
      <c r="C72" s="8"/>
      <c r="D72" s="8"/>
      <c r="E72" s="8"/>
      <c r="F72" s="8">
        <f t="shared" si="3"/>
        <v>0</v>
      </c>
      <c r="G72" s="14"/>
      <c r="H72" s="10"/>
      <c r="I72" s="10"/>
      <c r="J72" s="1"/>
      <c r="K72" s="10"/>
      <c r="L72" s="10"/>
    </row>
    <row r="73" spans="1:12" ht="15">
      <c r="A73" s="11">
        <v>975</v>
      </c>
      <c r="B73" s="8"/>
      <c r="C73" s="8"/>
      <c r="D73" s="8">
        <v>35000</v>
      </c>
      <c r="E73" s="8"/>
      <c r="F73" s="8">
        <f t="shared" si="3"/>
        <v>35000</v>
      </c>
      <c r="G73" s="14"/>
      <c r="H73" s="10"/>
      <c r="I73" s="10"/>
      <c r="J73" s="1"/>
      <c r="K73" s="1"/>
      <c r="L73" s="1"/>
    </row>
    <row r="74" spans="1:12" ht="15">
      <c r="A74" s="11">
        <v>981</v>
      </c>
      <c r="B74" s="8"/>
      <c r="C74" s="8"/>
      <c r="D74" s="8">
        <v>5000</v>
      </c>
      <c r="E74" s="8"/>
      <c r="F74" s="8">
        <f t="shared" si="3"/>
        <v>5000</v>
      </c>
      <c r="G74" s="14"/>
      <c r="H74" s="10"/>
      <c r="I74" s="10"/>
      <c r="J74" s="1"/>
      <c r="K74" s="1"/>
      <c r="L74" s="10"/>
    </row>
    <row r="75" spans="1:12" ht="15">
      <c r="A75" s="11">
        <v>791</v>
      </c>
      <c r="B75" s="8"/>
      <c r="C75" s="8"/>
      <c r="D75" s="8"/>
      <c r="E75" s="8"/>
      <c r="F75" s="8">
        <f t="shared" si="3"/>
        <v>0</v>
      </c>
      <c r="G75" s="14"/>
      <c r="H75" s="10"/>
      <c r="I75" s="10"/>
      <c r="J75" s="1"/>
      <c r="K75" s="1"/>
      <c r="L75" s="1"/>
    </row>
    <row r="76" spans="1:12" ht="15">
      <c r="A76" s="11">
        <v>792</v>
      </c>
      <c r="B76" s="8"/>
      <c r="C76" s="8"/>
      <c r="D76" s="8"/>
      <c r="E76" s="8"/>
      <c r="F76" s="8">
        <f t="shared" si="3"/>
        <v>0</v>
      </c>
      <c r="G76" s="14"/>
      <c r="H76" s="10"/>
      <c r="I76" s="10"/>
      <c r="J76" s="1"/>
      <c r="K76" s="1"/>
      <c r="L76" s="1"/>
    </row>
    <row r="77" spans="1:12" ht="15">
      <c r="A77" s="21">
        <v>793</v>
      </c>
      <c r="B77" s="17"/>
      <c r="C77" s="17"/>
      <c r="D77" s="17"/>
      <c r="E77" s="17"/>
      <c r="F77" s="8">
        <f t="shared" si="3"/>
        <v>0</v>
      </c>
      <c r="G77" s="14"/>
      <c r="H77" s="10"/>
      <c r="I77" s="10"/>
      <c r="J77" s="1"/>
      <c r="K77" s="1"/>
      <c r="L77" s="1"/>
    </row>
    <row r="78" spans="1:12" ht="15">
      <c r="A78" s="2" t="s">
        <v>2</v>
      </c>
      <c r="B78" s="3">
        <f aca="true" t="shared" si="4" ref="B78:G78">SUM(B3:B77)</f>
        <v>8236090</v>
      </c>
      <c r="C78" s="3">
        <f t="shared" si="4"/>
        <v>8236090</v>
      </c>
      <c r="D78" s="3">
        <f t="shared" si="4"/>
        <v>5508550</v>
      </c>
      <c r="E78" s="3">
        <f t="shared" si="4"/>
        <v>5508550</v>
      </c>
      <c r="F78" s="3">
        <f t="shared" si="4"/>
        <v>10329211</v>
      </c>
      <c r="G78" s="3">
        <f t="shared" si="4"/>
        <v>10329211</v>
      </c>
      <c r="H78" s="10"/>
      <c r="I78" s="10"/>
      <c r="J78" s="1"/>
      <c r="K78" s="10"/>
      <c r="L78" s="10"/>
    </row>
    <row r="79" spans="1:12" ht="15">
      <c r="A79" s="18"/>
      <c r="B79" s="10"/>
      <c r="C79" s="10"/>
      <c r="D79" s="10"/>
      <c r="E79" s="10"/>
      <c r="F79" s="10"/>
      <c r="G79" s="10"/>
      <c r="H79" s="10"/>
      <c r="I79" s="10"/>
      <c r="J79" s="1"/>
      <c r="K79" s="19"/>
      <c r="L79" s="1"/>
    </row>
    <row r="80" spans="1:12" ht="15">
      <c r="A80" s="18"/>
      <c r="B80" s="10">
        <f>B78-C78</f>
        <v>0</v>
      </c>
      <c r="C80" s="10"/>
      <c r="D80" s="10">
        <f>D78-E78</f>
        <v>0</v>
      </c>
      <c r="E80" s="10"/>
      <c r="F80" s="10">
        <f>F78-G78</f>
        <v>0</v>
      </c>
      <c r="G80" s="10"/>
      <c r="H80" s="10"/>
      <c r="I80" s="10"/>
      <c r="J80" s="1"/>
      <c r="K80" s="1"/>
      <c r="L80" s="1"/>
    </row>
  </sheetData>
  <mergeCells count="1">
    <mergeCell ref="A1:G1"/>
  </mergeCells>
  <printOptions/>
  <pageMargins left="0.52" right="0.42" top="0.5" bottom="0.51" header="0.5" footer="0.5"/>
  <pageSetup fitToHeight="2" horizontalDpi="600" verticalDpi="600" orientation="portrait" paperSize="9" scale="8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T100"/>
  <sheetViews>
    <sheetView zoomScale="140" zoomScaleNormal="140" workbookViewId="0" topLeftCell="A10">
      <selection activeCell="CT17" sqref="CT17"/>
    </sheetView>
  </sheetViews>
  <sheetFormatPr defaultColWidth="9.00390625" defaultRowHeight="12.75"/>
  <cols>
    <col min="1" max="3" width="0.875" style="142" customWidth="1"/>
    <col min="4" max="4" width="1.875" style="142" customWidth="1"/>
    <col min="5" max="5" width="2.375" style="142" customWidth="1"/>
    <col min="6" max="6" width="1.75390625" style="142" customWidth="1"/>
    <col min="7" max="12" width="0.875" style="142" customWidth="1"/>
    <col min="13" max="13" width="1.625" style="142" customWidth="1"/>
    <col min="14" max="45" width="0.875" style="142" customWidth="1"/>
    <col min="46" max="46" width="1.75390625" style="142" customWidth="1"/>
    <col min="47" max="47" width="1.625" style="142" customWidth="1"/>
    <col min="48" max="95" width="0.875" style="142" customWidth="1"/>
    <col min="96" max="96" width="6.875" style="138" customWidth="1"/>
    <col min="97" max="97" width="14.25390625" style="176" customWidth="1"/>
    <col min="98" max="98" width="14.625" style="176" customWidth="1"/>
    <col min="99" max="16384" width="9.125" style="138" customWidth="1"/>
  </cols>
  <sheetData>
    <row r="2" spans="1:95" ht="12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 t="s">
        <v>110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</row>
    <row r="3" spans="1:95" ht="12.7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 t="s">
        <v>111</v>
      </c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</row>
    <row r="4" spans="1:95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40" t="s">
        <v>112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</row>
    <row r="5" spans="1:95" ht="12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265" t="s">
        <v>113</v>
      </c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</row>
    <row r="6" spans="1:95" ht="12.7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 t="s">
        <v>114</v>
      </c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265"/>
      <c r="CF6" s="265"/>
      <c r="CG6" s="265"/>
      <c r="CH6" s="265"/>
      <c r="CI6" s="276"/>
      <c r="CJ6" s="275"/>
      <c r="CK6" s="275"/>
      <c r="CL6" s="275"/>
      <c r="CM6" s="277"/>
      <c r="CN6" s="243" t="s">
        <v>115</v>
      </c>
      <c r="CO6" s="241"/>
      <c r="CP6" s="241"/>
      <c r="CQ6" s="242"/>
    </row>
    <row r="7" spans="1:95" ht="12.75">
      <c r="A7" s="137"/>
      <c r="B7" s="137" t="s">
        <v>116</v>
      </c>
      <c r="C7" s="137"/>
      <c r="D7" s="137"/>
      <c r="E7" s="137"/>
      <c r="F7" s="137"/>
      <c r="G7" s="137"/>
      <c r="H7" s="137"/>
      <c r="I7" s="137"/>
      <c r="J7" s="137"/>
      <c r="K7" s="137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273" t="s">
        <v>117</v>
      </c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4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</row>
    <row r="8" spans="1:95" ht="12.75">
      <c r="A8" s="137"/>
      <c r="B8" s="137" t="s">
        <v>118</v>
      </c>
      <c r="C8" s="137"/>
      <c r="D8" s="137"/>
      <c r="E8" s="137"/>
      <c r="F8" s="137"/>
      <c r="G8" s="137"/>
      <c r="H8" s="137"/>
      <c r="I8" s="137"/>
      <c r="J8" s="137"/>
      <c r="K8" s="137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3" t="s">
        <v>119</v>
      </c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4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</row>
    <row r="9" spans="1:95" ht="12.75">
      <c r="A9" s="137"/>
      <c r="B9" s="137" t="s">
        <v>120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273" t="s">
        <v>121</v>
      </c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4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</row>
    <row r="10" spans="1:95" ht="12.75">
      <c r="A10" s="137"/>
      <c r="B10" s="137" t="s">
        <v>122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273" t="s">
        <v>123</v>
      </c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137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</row>
    <row r="11" spans="1:95" ht="12.75">
      <c r="A11" s="137"/>
      <c r="B11" s="137" t="s">
        <v>204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</row>
    <row r="12" spans="1:95" ht="12.75">
      <c r="A12" s="137"/>
      <c r="B12" s="273" t="s">
        <v>124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</row>
    <row r="13" spans="1:95" ht="12.75">
      <c r="A13" s="137"/>
      <c r="B13" s="272" t="s">
        <v>125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</row>
    <row r="14" spans="1:95" ht="12.75">
      <c r="A14" s="137"/>
      <c r="B14" s="83" t="s">
        <v>126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</row>
    <row r="15" spans="2:95" ht="15">
      <c r="B15" s="143" t="s">
        <v>127</v>
      </c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266"/>
      <c r="BM15" s="266"/>
      <c r="BN15" s="266"/>
      <c r="BO15" s="266"/>
      <c r="BP15" s="144"/>
      <c r="BQ15" s="144"/>
      <c r="BR15" s="144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</row>
    <row r="16" spans="2:95" ht="15">
      <c r="B16" s="143" t="s">
        <v>128</v>
      </c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266"/>
      <c r="BM16" s="266"/>
      <c r="BN16" s="266"/>
      <c r="BO16" s="266"/>
      <c r="BP16" s="144"/>
      <c r="BQ16" s="144"/>
      <c r="BR16" s="144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</row>
    <row r="18" spans="2:95" ht="15.75">
      <c r="B18" s="268" t="s">
        <v>129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</row>
    <row r="19" spans="1:95" ht="15.7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 t="s">
        <v>130</v>
      </c>
      <c r="AD19" s="146"/>
      <c r="AE19" s="146"/>
      <c r="AF19" s="146"/>
      <c r="AG19" s="146"/>
      <c r="AH19" s="269" t="s">
        <v>382</v>
      </c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146"/>
      <c r="BG19" s="270">
        <v>2014</v>
      </c>
      <c r="BH19" s="271"/>
      <c r="BI19" s="271"/>
      <c r="BJ19" s="271"/>
      <c r="BK19" s="271"/>
      <c r="BL19" s="271"/>
      <c r="BM19" s="271"/>
      <c r="BN19" s="271"/>
      <c r="BO19" s="271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</row>
    <row r="21" spans="1:95" ht="12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 t="s">
        <v>131</v>
      </c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 t="s">
        <v>132</v>
      </c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265">
        <v>1801001</v>
      </c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137"/>
      <c r="CQ21" s="137"/>
    </row>
    <row r="22" ht="15.75" thickBot="1"/>
    <row r="23" spans="1:95" ht="13.5" thickBot="1">
      <c r="A23" s="248" t="s">
        <v>133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 t="s">
        <v>134</v>
      </c>
      <c r="BD23" s="249"/>
      <c r="BE23" s="249"/>
      <c r="BF23" s="249"/>
      <c r="BG23" s="249"/>
      <c r="BH23" s="249"/>
      <c r="BI23" s="249"/>
      <c r="BJ23" s="249" t="s">
        <v>135</v>
      </c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 t="s">
        <v>136</v>
      </c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50"/>
    </row>
    <row r="24" spans="1:95" ht="13.5" thickBot="1">
      <c r="A24" s="245">
        <v>1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>
        <v>2</v>
      </c>
      <c r="BD24" s="246"/>
      <c r="BE24" s="246"/>
      <c r="BF24" s="246"/>
      <c r="BG24" s="246"/>
      <c r="BH24" s="246"/>
      <c r="BI24" s="246"/>
      <c r="BJ24" s="246">
        <v>3</v>
      </c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>
        <v>4</v>
      </c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7"/>
    </row>
    <row r="25" spans="1:95" ht="12.75">
      <c r="A25" s="184" t="s">
        <v>137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0"/>
      <c r="BC25" s="199">
        <v>1000</v>
      </c>
      <c r="BD25" s="194"/>
      <c r="BE25" s="194"/>
      <c r="BF25" s="194"/>
      <c r="BG25" s="194"/>
      <c r="BH25" s="194"/>
      <c r="BI25" s="192"/>
      <c r="BJ25" s="199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2"/>
      <c r="CB25" s="199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81"/>
    </row>
    <row r="26" spans="1:95" ht="12.75">
      <c r="A26" s="205" t="s">
        <v>138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195"/>
      <c r="BC26" s="193"/>
      <c r="BD26" s="188"/>
      <c r="BE26" s="188"/>
      <c r="BF26" s="188"/>
      <c r="BG26" s="188"/>
      <c r="BH26" s="188"/>
      <c r="BI26" s="189"/>
      <c r="BJ26" s="193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9"/>
      <c r="CB26" s="193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78"/>
    </row>
    <row r="27" spans="1:95" ht="12.75">
      <c r="A27" s="263" t="s">
        <v>139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06">
        <v>1001</v>
      </c>
      <c r="BD27" s="207"/>
      <c r="BE27" s="207"/>
      <c r="BF27" s="207"/>
      <c r="BG27" s="207"/>
      <c r="BH27" s="207"/>
      <c r="BI27" s="207"/>
      <c r="BJ27" s="225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7"/>
      <c r="CB27" s="225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8"/>
    </row>
    <row r="28" spans="1:95" ht="12.75">
      <c r="A28" s="235" t="s">
        <v>140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06">
        <v>1002</v>
      </c>
      <c r="BD28" s="207"/>
      <c r="BE28" s="207"/>
      <c r="BF28" s="207"/>
      <c r="BG28" s="207"/>
      <c r="BH28" s="207"/>
      <c r="BI28" s="207"/>
      <c r="BJ28" s="225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7"/>
      <c r="CB28" s="225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8"/>
    </row>
    <row r="29" spans="1:95" ht="12.75">
      <c r="A29" s="235" t="s">
        <v>141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06">
        <v>1005</v>
      </c>
      <c r="BD29" s="207"/>
      <c r="BE29" s="207"/>
      <c r="BF29" s="207"/>
      <c r="BG29" s="207"/>
      <c r="BH29" s="207"/>
      <c r="BI29" s="207"/>
      <c r="BJ29" s="201">
        <f>ОСВ!B9</f>
        <v>12200</v>
      </c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3"/>
      <c r="CB29" s="201">
        <f>ОСВ!F9</f>
        <v>12200</v>
      </c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4"/>
    </row>
    <row r="30" spans="1:95" ht="12.75">
      <c r="A30" s="235" t="s">
        <v>142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06">
        <v>1010</v>
      </c>
      <c r="BD30" s="207"/>
      <c r="BE30" s="207"/>
      <c r="BF30" s="207"/>
      <c r="BG30" s="207"/>
      <c r="BH30" s="207"/>
      <c r="BI30" s="207"/>
      <c r="BJ30" s="201">
        <f>BJ31-BJ32</f>
        <v>3819200</v>
      </c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3"/>
      <c r="CB30" s="201">
        <f>CB31-CB32</f>
        <v>3466151</v>
      </c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4"/>
    </row>
    <row r="31" spans="1:95" ht="12.75">
      <c r="A31" s="263" t="s">
        <v>139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06">
        <v>1011</v>
      </c>
      <c r="BD31" s="207"/>
      <c r="BE31" s="207"/>
      <c r="BF31" s="207"/>
      <c r="BG31" s="207"/>
      <c r="BH31" s="207"/>
      <c r="BI31" s="207"/>
      <c r="BJ31" s="259">
        <f>ОСВ!I3</f>
        <v>7949500</v>
      </c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1"/>
      <c r="CB31" s="259">
        <f>ОСВ!J3</f>
        <v>7942667</v>
      </c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2"/>
    </row>
    <row r="32" spans="1:95" ht="12.75">
      <c r="A32" s="235" t="s">
        <v>143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06">
        <v>1012</v>
      </c>
      <c r="BD32" s="207"/>
      <c r="BE32" s="207"/>
      <c r="BF32" s="207"/>
      <c r="BG32" s="207"/>
      <c r="BH32" s="207"/>
      <c r="BI32" s="207"/>
      <c r="BJ32" s="259">
        <f>ОСВ!I10</f>
        <v>4130300</v>
      </c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1"/>
      <c r="CB32" s="259">
        <f>ОСВ!J10</f>
        <v>4476516</v>
      </c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2"/>
    </row>
    <row r="33" spans="1:95" ht="12.75">
      <c r="A33" s="235" t="s">
        <v>144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06">
        <v>1015</v>
      </c>
      <c r="BD33" s="207"/>
      <c r="BE33" s="207"/>
      <c r="BF33" s="207"/>
      <c r="BG33" s="207"/>
      <c r="BH33" s="207"/>
      <c r="BI33" s="207"/>
      <c r="BJ33" s="225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7"/>
      <c r="CB33" s="225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8"/>
    </row>
    <row r="34" spans="1:95" ht="12.75">
      <c r="A34" s="235" t="s">
        <v>145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06">
        <v>1020</v>
      </c>
      <c r="BD34" s="207"/>
      <c r="BE34" s="207"/>
      <c r="BF34" s="207"/>
      <c r="BG34" s="207"/>
      <c r="BH34" s="207"/>
      <c r="BI34" s="207"/>
      <c r="BJ34" s="225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7"/>
      <c r="CB34" s="225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8"/>
    </row>
    <row r="35" spans="1:95" ht="12.75">
      <c r="A35" s="196" t="s">
        <v>146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8"/>
      <c r="BC35" s="199">
        <v>1030</v>
      </c>
      <c r="BD35" s="194"/>
      <c r="BE35" s="194"/>
      <c r="BF35" s="194"/>
      <c r="BG35" s="194"/>
      <c r="BH35" s="194"/>
      <c r="BI35" s="192"/>
      <c r="BJ35" s="199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2"/>
      <c r="CB35" s="199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81"/>
    </row>
    <row r="36" spans="1:95" ht="12.75">
      <c r="A36" s="256" t="s">
        <v>147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8"/>
      <c r="BC36" s="193"/>
      <c r="BD36" s="188"/>
      <c r="BE36" s="188"/>
      <c r="BF36" s="188"/>
      <c r="BG36" s="188"/>
      <c r="BH36" s="188"/>
      <c r="BI36" s="189"/>
      <c r="BJ36" s="193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9"/>
      <c r="CB36" s="193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78"/>
    </row>
    <row r="37" spans="1:95" ht="12.75">
      <c r="A37" s="235" t="s">
        <v>148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06">
        <v>1035</v>
      </c>
      <c r="BD37" s="207"/>
      <c r="BE37" s="207"/>
      <c r="BF37" s="207"/>
      <c r="BG37" s="207"/>
      <c r="BH37" s="207"/>
      <c r="BI37" s="207"/>
      <c r="BJ37" s="225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7"/>
      <c r="CB37" s="225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8"/>
    </row>
    <row r="38" spans="1:95" ht="12.75">
      <c r="A38" s="235" t="s">
        <v>149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06">
        <v>1040</v>
      </c>
      <c r="BD38" s="207"/>
      <c r="BE38" s="207"/>
      <c r="BF38" s="207"/>
      <c r="BG38" s="207"/>
      <c r="BH38" s="207"/>
      <c r="BI38" s="207"/>
      <c r="BJ38" s="225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7"/>
      <c r="CB38" s="225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8"/>
    </row>
    <row r="39" spans="1:95" ht="12.75">
      <c r="A39" s="235" t="s">
        <v>150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06">
        <v>1045</v>
      </c>
      <c r="BD39" s="207"/>
      <c r="BE39" s="207"/>
      <c r="BF39" s="207"/>
      <c r="BG39" s="207"/>
      <c r="BH39" s="207"/>
      <c r="BI39" s="207"/>
      <c r="BJ39" s="225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7"/>
      <c r="CB39" s="225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8"/>
    </row>
    <row r="40" spans="1:95" ht="12.75">
      <c r="A40" s="235" t="s">
        <v>151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06">
        <v>1090</v>
      </c>
      <c r="BD40" s="207"/>
      <c r="BE40" s="207"/>
      <c r="BF40" s="207"/>
      <c r="BG40" s="207"/>
      <c r="BH40" s="207"/>
      <c r="BI40" s="207"/>
      <c r="BJ40" s="225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7"/>
      <c r="CB40" s="225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8"/>
    </row>
    <row r="41" spans="1:95" ht="12.75">
      <c r="A41" s="229" t="s">
        <v>152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23">
        <v>1095</v>
      </c>
      <c r="BD41" s="224"/>
      <c r="BE41" s="224"/>
      <c r="BF41" s="224"/>
      <c r="BG41" s="224"/>
      <c r="BH41" s="224"/>
      <c r="BI41" s="224"/>
      <c r="BJ41" s="231">
        <f>BJ29+BJ30</f>
        <v>3831400</v>
      </c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3"/>
      <c r="CB41" s="231">
        <f>CB29+CB30</f>
        <v>3478351</v>
      </c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4"/>
    </row>
    <row r="42" spans="1:95" ht="12.75">
      <c r="A42" s="184" t="s">
        <v>153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0"/>
      <c r="BC42" s="199">
        <v>1100</v>
      </c>
      <c r="BD42" s="194"/>
      <c r="BE42" s="194"/>
      <c r="BF42" s="194"/>
      <c r="BG42" s="194"/>
      <c r="BH42" s="194"/>
      <c r="BI42" s="192"/>
      <c r="BJ42" s="190">
        <f>ОСВ!I15</f>
        <v>127600</v>
      </c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239"/>
      <c r="CB42" s="190">
        <f>ОСВ!J15</f>
        <v>365548</v>
      </c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86"/>
    </row>
    <row r="43" spans="1:95" ht="12.75">
      <c r="A43" s="205" t="s">
        <v>154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195"/>
      <c r="BC43" s="193"/>
      <c r="BD43" s="188"/>
      <c r="BE43" s="188"/>
      <c r="BF43" s="188"/>
      <c r="BG43" s="188"/>
      <c r="BH43" s="188"/>
      <c r="BI43" s="189"/>
      <c r="BJ43" s="187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240"/>
      <c r="CB43" s="187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3"/>
    </row>
    <row r="44" spans="1:95" ht="12.75">
      <c r="A44" s="235" t="s">
        <v>155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06">
        <v>1110</v>
      </c>
      <c r="BD44" s="207"/>
      <c r="BE44" s="207"/>
      <c r="BF44" s="207"/>
      <c r="BG44" s="207"/>
      <c r="BH44" s="207"/>
      <c r="BI44" s="207"/>
      <c r="BJ44" s="225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7"/>
      <c r="CB44" s="225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8"/>
    </row>
    <row r="45" spans="1:95" ht="12.75">
      <c r="A45" s="254" t="s">
        <v>156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06">
        <v>1125</v>
      </c>
      <c r="BD45" s="207"/>
      <c r="BE45" s="207"/>
      <c r="BF45" s="207"/>
      <c r="BG45" s="207"/>
      <c r="BH45" s="207"/>
      <c r="BI45" s="207"/>
      <c r="BJ45" s="201">
        <f>(ОСВ!B27-ОСВ!C28)</f>
        <v>27000</v>
      </c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3"/>
      <c r="CB45" s="201">
        <f>(ОСВ!F27-ОСВ!G28)</f>
        <v>333700</v>
      </c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4"/>
    </row>
    <row r="46" spans="1:95" ht="12.75">
      <c r="A46" s="196" t="s">
        <v>157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8"/>
      <c r="BC46" s="199">
        <v>1130</v>
      </c>
      <c r="BD46" s="194"/>
      <c r="BE46" s="194"/>
      <c r="BF46" s="194"/>
      <c r="BG46" s="194"/>
      <c r="BH46" s="194"/>
      <c r="BI46" s="192"/>
      <c r="BJ46" s="199">
        <f>ОСВ!B29</f>
        <v>0</v>
      </c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2"/>
      <c r="CB46" s="199">
        <f>ОСВ!F29</f>
        <v>18000</v>
      </c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81"/>
    </row>
    <row r="47" spans="1:95" ht="12.75">
      <c r="A47" s="205" t="s">
        <v>158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195"/>
      <c r="BC47" s="193"/>
      <c r="BD47" s="188"/>
      <c r="BE47" s="188"/>
      <c r="BF47" s="188"/>
      <c r="BG47" s="188"/>
      <c r="BH47" s="188"/>
      <c r="BI47" s="189"/>
      <c r="BJ47" s="193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9"/>
      <c r="CB47" s="193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78"/>
    </row>
    <row r="48" spans="1:95" ht="12.75">
      <c r="A48" s="235" t="s">
        <v>159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06">
        <v>1135</v>
      </c>
      <c r="BD48" s="207"/>
      <c r="BE48" s="207"/>
      <c r="BF48" s="207"/>
      <c r="BG48" s="207"/>
      <c r="BH48" s="207"/>
      <c r="BI48" s="207"/>
      <c r="BJ48" s="225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7"/>
      <c r="CB48" s="225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8"/>
    </row>
    <row r="49" spans="1:95" ht="12.75">
      <c r="A49" s="235" t="s">
        <v>160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06">
        <v>1136</v>
      </c>
      <c r="BD49" s="207"/>
      <c r="BE49" s="207"/>
      <c r="BF49" s="207"/>
      <c r="BG49" s="207"/>
      <c r="BH49" s="207"/>
      <c r="BI49" s="207"/>
      <c r="BJ49" s="225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7"/>
      <c r="CB49" s="225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8"/>
    </row>
    <row r="50" spans="1:95" ht="12.75">
      <c r="A50" s="235" t="s">
        <v>161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06">
        <v>1155</v>
      </c>
      <c r="BD50" s="207"/>
      <c r="BE50" s="207"/>
      <c r="BF50" s="207"/>
      <c r="BG50" s="207"/>
      <c r="BH50" s="207"/>
      <c r="BI50" s="207"/>
      <c r="BJ50" s="201">
        <f>(ОСВ!B51+ОСВ!B30)</f>
        <v>7750</v>
      </c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3"/>
      <c r="CB50" s="201">
        <f>(ОСВ!F30)</f>
        <v>750</v>
      </c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4"/>
    </row>
    <row r="51" spans="1:95" ht="12.75">
      <c r="A51" s="235" t="s">
        <v>162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06">
        <v>1160</v>
      </c>
      <c r="BD51" s="207"/>
      <c r="BE51" s="207"/>
      <c r="BF51" s="207"/>
      <c r="BG51" s="207"/>
      <c r="BH51" s="207"/>
      <c r="BI51" s="207"/>
      <c r="BJ51" s="201">
        <f>ОСВ!B26</f>
        <v>14700</v>
      </c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3"/>
      <c r="CB51" s="201">
        <f>ОСВ!F26</f>
        <v>29700</v>
      </c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4"/>
    </row>
    <row r="52" spans="1:95" ht="12.75">
      <c r="A52" s="235" t="s">
        <v>163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06">
        <v>1165</v>
      </c>
      <c r="BD52" s="207"/>
      <c r="BE52" s="207"/>
      <c r="BF52" s="207"/>
      <c r="BG52" s="207"/>
      <c r="BH52" s="207"/>
      <c r="BI52" s="207"/>
      <c r="BJ52" s="201">
        <f>(ОСВ!B21+ОСВ!B22+ОСВ!B23+ОСВ!B25)</f>
        <v>76340</v>
      </c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3"/>
      <c r="CB52" s="201">
        <f>(ОСВ!F21+ОСВ!F22+ОСВ!F23+ОСВ!F24+ОСВ!F25)</f>
        <v>1022870</v>
      </c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4"/>
    </row>
    <row r="53" spans="1:95" ht="12.75">
      <c r="A53" s="235" t="s">
        <v>164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06">
        <v>1170</v>
      </c>
      <c r="BD53" s="207"/>
      <c r="BE53" s="207"/>
      <c r="BF53" s="207"/>
      <c r="BG53" s="207"/>
      <c r="BH53" s="207"/>
      <c r="BI53" s="207"/>
      <c r="BJ53" s="201">
        <f>ОСВ!B32</f>
        <v>750</v>
      </c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3"/>
      <c r="CB53" s="201">
        <f>ОСВ!F32</f>
        <v>710</v>
      </c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4"/>
    </row>
    <row r="54" spans="1:95" ht="12.75">
      <c r="A54" s="235" t="s">
        <v>165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06">
        <v>1190</v>
      </c>
      <c r="BD54" s="207"/>
      <c r="BE54" s="207"/>
      <c r="BF54" s="207"/>
      <c r="BG54" s="207"/>
      <c r="BH54" s="207"/>
      <c r="BI54" s="207"/>
      <c r="BJ54" s="201">
        <f>(ОСВ!B48+ОСВ!B49+ОСВ!B50)</f>
        <v>0</v>
      </c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3"/>
      <c r="CB54" s="201">
        <f>(ОСВ!F48+ОСВ!F50)</f>
        <v>9133</v>
      </c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4"/>
    </row>
    <row r="55" spans="1:95" ht="12.75">
      <c r="A55" s="229" t="s">
        <v>166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23">
        <v>1195</v>
      </c>
      <c r="BD55" s="224"/>
      <c r="BE55" s="224"/>
      <c r="BF55" s="224"/>
      <c r="BG55" s="224"/>
      <c r="BH55" s="224"/>
      <c r="BI55" s="224"/>
      <c r="BJ55" s="231">
        <f>BJ42+BJ45+BJ50+BJ51+BJ52+BJ53</f>
        <v>254140</v>
      </c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3"/>
      <c r="CB55" s="231">
        <f>CB42+CB45+CB46+CB50+CB51+CB52+CB53+CB54</f>
        <v>1780411</v>
      </c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4"/>
    </row>
    <row r="56" spans="1:95" ht="12.75">
      <c r="A56" s="251" t="s">
        <v>167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3"/>
      <c r="BC56" s="223">
        <v>1200</v>
      </c>
      <c r="BD56" s="224"/>
      <c r="BE56" s="224"/>
      <c r="BF56" s="224"/>
      <c r="BG56" s="224"/>
      <c r="BH56" s="224"/>
      <c r="BI56" s="224"/>
      <c r="BJ56" s="231">
        <f>ОСВ!B20</f>
        <v>12750</v>
      </c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32"/>
      <c r="BZ56" s="232"/>
      <c r="CA56" s="233"/>
      <c r="CB56" s="231">
        <f>ОСВ!F20</f>
        <v>12750</v>
      </c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4"/>
    </row>
    <row r="57" spans="1:95" ht="13.5" thickBot="1">
      <c r="A57" s="212" t="s">
        <v>168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4">
        <v>1300</v>
      </c>
      <c r="BD57" s="215"/>
      <c r="BE57" s="215"/>
      <c r="BF57" s="215"/>
      <c r="BG57" s="215"/>
      <c r="BH57" s="215"/>
      <c r="BI57" s="215"/>
      <c r="BJ57" s="216">
        <f>BJ41+BJ55+BJ56</f>
        <v>4098290</v>
      </c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8"/>
      <c r="CB57" s="216">
        <f>CB41+CB55+CB56</f>
        <v>5271512</v>
      </c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9"/>
    </row>
    <row r="58" spans="1:95" ht="13.5" thickBot="1">
      <c r="A58" s="248" t="s">
        <v>169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 t="s">
        <v>134</v>
      </c>
      <c r="BD58" s="249"/>
      <c r="BE58" s="249"/>
      <c r="BF58" s="249"/>
      <c r="BG58" s="249"/>
      <c r="BH58" s="249"/>
      <c r="BI58" s="249"/>
      <c r="BJ58" s="249" t="s">
        <v>135</v>
      </c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 t="s">
        <v>136</v>
      </c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50"/>
    </row>
    <row r="59" spans="1:95" ht="13.5" thickBot="1">
      <c r="A59" s="245">
        <v>1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>
        <v>2</v>
      </c>
      <c r="BD59" s="246"/>
      <c r="BE59" s="246"/>
      <c r="BF59" s="246"/>
      <c r="BG59" s="246"/>
      <c r="BH59" s="246"/>
      <c r="BI59" s="246"/>
      <c r="BJ59" s="246">
        <v>3</v>
      </c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>
        <v>4</v>
      </c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7"/>
    </row>
    <row r="60" spans="1:95" ht="12.75">
      <c r="A60" s="184" t="s">
        <v>170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0"/>
      <c r="BC60" s="199">
        <v>1400</v>
      </c>
      <c r="BD60" s="194"/>
      <c r="BE60" s="194"/>
      <c r="BF60" s="194"/>
      <c r="BG60" s="194"/>
      <c r="BH60" s="194"/>
      <c r="BI60" s="192"/>
      <c r="BJ60" s="199">
        <f>ОСВ!C33</f>
        <v>2500000</v>
      </c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2"/>
      <c r="CB60" s="199">
        <f>ОСВ!G33</f>
        <v>2950000</v>
      </c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81"/>
    </row>
    <row r="61" spans="1:97" ht="12.75">
      <c r="A61" s="205" t="s">
        <v>171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195"/>
      <c r="BC61" s="193"/>
      <c r="BD61" s="188"/>
      <c r="BE61" s="188"/>
      <c r="BF61" s="188"/>
      <c r="BG61" s="188"/>
      <c r="BH61" s="188"/>
      <c r="BI61" s="189"/>
      <c r="BJ61" s="193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9"/>
      <c r="CB61" s="193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78"/>
      <c r="CS61" s="176">
        <v>2950000</v>
      </c>
    </row>
    <row r="62" spans="1:97" ht="12.75">
      <c r="A62" s="205" t="s">
        <v>172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195"/>
      <c r="BC62" s="206">
        <v>1405</v>
      </c>
      <c r="BD62" s="207"/>
      <c r="BE62" s="207"/>
      <c r="BF62" s="207"/>
      <c r="BG62" s="207"/>
      <c r="BH62" s="207"/>
      <c r="BI62" s="207"/>
      <c r="BJ62" s="201">
        <f>ОСВ!C34</f>
        <v>145000</v>
      </c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3"/>
      <c r="CB62" s="201">
        <f>ОСВ!G34</f>
        <v>225000</v>
      </c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  <c r="CQ62" s="204"/>
      <c r="CS62" s="176">
        <v>225000</v>
      </c>
    </row>
    <row r="63" spans="1:95" ht="12.75">
      <c r="A63" s="205" t="s">
        <v>173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195"/>
      <c r="BC63" s="206">
        <v>1410</v>
      </c>
      <c r="BD63" s="207"/>
      <c r="BE63" s="207"/>
      <c r="BF63" s="207"/>
      <c r="BG63" s="207"/>
      <c r="BH63" s="207"/>
      <c r="BI63" s="207"/>
      <c r="BJ63" s="225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7"/>
      <c r="CB63" s="225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8"/>
    </row>
    <row r="64" spans="1:95" ht="12.75">
      <c r="A64" s="205" t="s">
        <v>174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195"/>
      <c r="BC64" s="206">
        <v>1415</v>
      </c>
      <c r="BD64" s="207"/>
      <c r="BE64" s="207"/>
      <c r="BF64" s="207"/>
      <c r="BG64" s="207"/>
      <c r="BH64" s="207"/>
      <c r="BI64" s="207"/>
      <c r="BJ64" s="225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7"/>
      <c r="CB64" s="225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8"/>
    </row>
    <row r="65" spans="1:97" ht="12.75">
      <c r="A65" s="205" t="s">
        <v>175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195"/>
      <c r="BC65" s="206">
        <v>1420</v>
      </c>
      <c r="BD65" s="207"/>
      <c r="BE65" s="207"/>
      <c r="BF65" s="207"/>
      <c r="BG65" s="207"/>
      <c r="BH65" s="207"/>
      <c r="BI65" s="207"/>
      <c r="BJ65" s="201">
        <f>ОСВ!C35</f>
        <v>1385190</v>
      </c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3"/>
      <c r="CB65" s="201">
        <v>1662793</v>
      </c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4"/>
      <c r="CR65" s="147">
        <f>CB65-BJ65</f>
        <v>277603</v>
      </c>
      <c r="CS65" s="176">
        <v>1662793</v>
      </c>
    </row>
    <row r="66" spans="1:97" ht="12.75">
      <c r="A66" s="205" t="s">
        <v>176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195"/>
      <c r="BC66" s="206">
        <v>1425</v>
      </c>
      <c r="BD66" s="207"/>
      <c r="BE66" s="207"/>
      <c r="BF66" s="207"/>
      <c r="BG66" s="207"/>
      <c r="BH66" s="207"/>
      <c r="BI66" s="207"/>
      <c r="BJ66" s="243" t="s">
        <v>177</v>
      </c>
      <c r="BK66" s="241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1" t="s">
        <v>178</v>
      </c>
      <c r="CA66" s="242"/>
      <c r="CB66" s="243" t="s">
        <v>177</v>
      </c>
      <c r="CC66" s="241"/>
      <c r="CD66" s="244">
        <f>ОСВ!F37</f>
        <v>50000</v>
      </c>
      <c r="CE66" s="244"/>
      <c r="CF66" s="244"/>
      <c r="CG66" s="244"/>
      <c r="CH66" s="244"/>
      <c r="CI66" s="244"/>
      <c r="CJ66" s="244"/>
      <c r="CK66" s="244"/>
      <c r="CL66" s="244"/>
      <c r="CM66" s="244"/>
      <c r="CN66" s="244"/>
      <c r="CO66" s="244"/>
      <c r="CP66" s="244"/>
      <c r="CQ66" s="148" t="s">
        <v>178</v>
      </c>
      <c r="CS66" s="176">
        <v>-50000</v>
      </c>
    </row>
    <row r="67" spans="1:95" ht="12.75">
      <c r="A67" s="205" t="s">
        <v>179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195"/>
      <c r="BC67" s="206">
        <v>1430</v>
      </c>
      <c r="BD67" s="207"/>
      <c r="BE67" s="207"/>
      <c r="BF67" s="207"/>
      <c r="BG67" s="207"/>
      <c r="BH67" s="207"/>
      <c r="BI67" s="207"/>
      <c r="BJ67" s="243" t="s">
        <v>177</v>
      </c>
      <c r="BK67" s="241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1" t="s">
        <v>178</v>
      </c>
      <c r="CA67" s="242"/>
      <c r="CB67" s="243" t="s">
        <v>177</v>
      </c>
      <c r="CC67" s="241"/>
      <c r="CD67" s="244"/>
      <c r="CE67" s="244"/>
      <c r="CF67" s="244"/>
      <c r="CG67" s="244"/>
      <c r="CH67" s="244"/>
      <c r="CI67" s="244"/>
      <c r="CJ67" s="244"/>
      <c r="CK67" s="244"/>
      <c r="CL67" s="244"/>
      <c r="CM67" s="244"/>
      <c r="CN67" s="244"/>
      <c r="CO67" s="244"/>
      <c r="CP67" s="244"/>
      <c r="CQ67" s="148" t="s">
        <v>178</v>
      </c>
    </row>
    <row r="68" spans="1:98" ht="12.75">
      <c r="A68" s="179" t="s">
        <v>180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8"/>
      <c r="BC68" s="223">
        <v>1495</v>
      </c>
      <c r="BD68" s="224"/>
      <c r="BE68" s="224"/>
      <c r="BF68" s="224"/>
      <c r="BG68" s="224"/>
      <c r="BH68" s="224"/>
      <c r="BI68" s="224"/>
      <c r="BJ68" s="231">
        <f>BJ60+BJ62+BJ65</f>
        <v>4030190</v>
      </c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3"/>
      <c r="CB68" s="231">
        <f>CB60+CB62+CB65-CD66</f>
        <v>4787793</v>
      </c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4"/>
      <c r="CS68" s="177">
        <v>4030190</v>
      </c>
      <c r="CT68" s="177">
        <v>4787793</v>
      </c>
    </row>
    <row r="69" spans="1:95" ht="12.75">
      <c r="A69" s="184" t="s">
        <v>181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0"/>
      <c r="BC69" s="199">
        <v>1500</v>
      </c>
      <c r="BD69" s="194"/>
      <c r="BE69" s="194"/>
      <c r="BF69" s="194"/>
      <c r="BG69" s="194"/>
      <c r="BH69" s="194"/>
      <c r="BI69" s="192"/>
      <c r="BJ69" s="190">
        <f>ОСВ!C39</f>
        <v>14200</v>
      </c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239"/>
      <c r="CB69" s="190">
        <f>ОСВ!G39</f>
        <v>14200</v>
      </c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86"/>
    </row>
    <row r="70" spans="1:95" ht="12.75">
      <c r="A70" s="205" t="s">
        <v>182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195"/>
      <c r="BC70" s="193"/>
      <c r="BD70" s="188"/>
      <c r="BE70" s="188"/>
      <c r="BF70" s="188"/>
      <c r="BG70" s="188"/>
      <c r="BH70" s="188"/>
      <c r="BI70" s="189"/>
      <c r="BJ70" s="187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240"/>
      <c r="CB70" s="187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3"/>
    </row>
    <row r="71" spans="1:95" ht="12.75">
      <c r="A71" s="205" t="s">
        <v>183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195"/>
      <c r="BC71" s="206">
        <v>1510</v>
      </c>
      <c r="BD71" s="207"/>
      <c r="BE71" s="207"/>
      <c r="BF71" s="207"/>
      <c r="BG71" s="207"/>
      <c r="BH71" s="207"/>
      <c r="BI71" s="207"/>
      <c r="BJ71" s="225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7"/>
      <c r="CB71" s="201">
        <f>ОСВ!G38</f>
        <v>130000</v>
      </c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4"/>
    </row>
    <row r="72" spans="1:95" ht="12.75">
      <c r="A72" s="205" t="s">
        <v>184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195"/>
      <c r="BC72" s="206">
        <v>1515</v>
      </c>
      <c r="BD72" s="207"/>
      <c r="BE72" s="207"/>
      <c r="BF72" s="207"/>
      <c r="BG72" s="207"/>
      <c r="BH72" s="207"/>
      <c r="BI72" s="207"/>
      <c r="BJ72" s="225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7"/>
      <c r="CB72" s="225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6"/>
      <c r="CN72" s="226"/>
      <c r="CO72" s="226"/>
      <c r="CP72" s="226"/>
      <c r="CQ72" s="228"/>
    </row>
    <row r="73" spans="1:95" ht="12.75">
      <c r="A73" s="205" t="s">
        <v>185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195"/>
      <c r="BC73" s="206">
        <v>1520</v>
      </c>
      <c r="BD73" s="207"/>
      <c r="BE73" s="207"/>
      <c r="BF73" s="207"/>
      <c r="BG73" s="207"/>
      <c r="BH73" s="207"/>
      <c r="BI73" s="207"/>
      <c r="BJ73" s="225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7"/>
      <c r="CB73" s="225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8"/>
    </row>
    <row r="74" spans="1:95" ht="12.75">
      <c r="A74" s="205" t="s">
        <v>186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195"/>
      <c r="BC74" s="206">
        <v>1525</v>
      </c>
      <c r="BD74" s="207"/>
      <c r="BE74" s="207"/>
      <c r="BF74" s="207"/>
      <c r="BG74" s="207"/>
      <c r="BH74" s="207"/>
      <c r="BI74" s="207"/>
      <c r="BJ74" s="225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7"/>
      <c r="CB74" s="225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8"/>
    </row>
    <row r="75" spans="1:95" ht="12.75">
      <c r="A75" s="179" t="s">
        <v>187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8"/>
      <c r="BC75" s="223">
        <v>1595</v>
      </c>
      <c r="BD75" s="224"/>
      <c r="BE75" s="224"/>
      <c r="BF75" s="224"/>
      <c r="BG75" s="224"/>
      <c r="BH75" s="224"/>
      <c r="BI75" s="224"/>
      <c r="BJ75" s="231">
        <f>BJ69</f>
        <v>14200</v>
      </c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2"/>
      <c r="BZ75" s="232"/>
      <c r="CA75" s="233"/>
      <c r="CB75" s="231">
        <f>CB69+CB71</f>
        <v>144200</v>
      </c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4"/>
    </row>
    <row r="76" spans="1:95" ht="12.75">
      <c r="A76" s="184" t="s">
        <v>188</v>
      </c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0"/>
      <c r="BC76" s="199">
        <v>1600</v>
      </c>
      <c r="BD76" s="194"/>
      <c r="BE76" s="194"/>
      <c r="BF76" s="194"/>
      <c r="BG76" s="194"/>
      <c r="BH76" s="194"/>
      <c r="BI76" s="192"/>
      <c r="BJ76" s="199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2"/>
      <c r="CB76" s="199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81"/>
    </row>
    <row r="77" spans="1:95" ht="12.75">
      <c r="A77" s="205" t="s">
        <v>189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195"/>
      <c r="BC77" s="193"/>
      <c r="BD77" s="188"/>
      <c r="BE77" s="188"/>
      <c r="BF77" s="188"/>
      <c r="BG77" s="188"/>
      <c r="BH77" s="188"/>
      <c r="BI77" s="189"/>
      <c r="BJ77" s="193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9"/>
      <c r="CB77" s="193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78"/>
    </row>
    <row r="78" spans="1:95" ht="12.75">
      <c r="A78" s="196" t="s">
        <v>190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8"/>
      <c r="BC78" s="199">
        <v>1610</v>
      </c>
      <c r="BD78" s="194"/>
      <c r="BE78" s="194"/>
      <c r="BF78" s="194"/>
      <c r="BG78" s="194"/>
      <c r="BH78" s="194"/>
      <c r="BI78" s="192"/>
      <c r="BJ78" s="199">
        <f>ОСВ!C40/1000</f>
        <v>0</v>
      </c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2"/>
      <c r="CB78" s="190">
        <f>ОСВ!G40</f>
        <v>37500</v>
      </c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86"/>
    </row>
    <row r="79" spans="1:95" ht="12.75">
      <c r="A79" s="205" t="s">
        <v>191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195"/>
      <c r="BC79" s="193"/>
      <c r="BD79" s="188"/>
      <c r="BE79" s="188"/>
      <c r="BF79" s="188"/>
      <c r="BG79" s="188"/>
      <c r="BH79" s="188"/>
      <c r="BI79" s="189"/>
      <c r="BJ79" s="193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9"/>
      <c r="CB79" s="187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3"/>
    </row>
    <row r="80" spans="1:95" ht="12.75">
      <c r="A80" s="205" t="s">
        <v>192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195"/>
      <c r="BC80" s="206">
        <v>1615</v>
      </c>
      <c r="BD80" s="207"/>
      <c r="BE80" s="207"/>
      <c r="BF80" s="207"/>
      <c r="BG80" s="207"/>
      <c r="BH80" s="207"/>
      <c r="BI80" s="207"/>
      <c r="BJ80" s="201">
        <f>ОСВ!C41</f>
        <v>22800</v>
      </c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3"/>
      <c r="CB80" s="201">
        <f>(ОСВ!G41+ОСВ!G42)</f>
        <v>68220</v>
      </c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4"/>
    </row>
    <row r="81" spans="1:95" ht="12.75">
      <c r="A81" s="205" t="s">
        <v>193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195"/>
      <c r="BC81" s="206">
        <v>1620</v>
      </c>
      <c r="BD81" s="207"/>
      <c r="BE81" s="207"/>
      <c r="BF81" s="207"/>
      <c r="BG81" s="207"/>
      <c r="BH81" s="207"/>
      <c r="BI81" s="207"/>
      <c r="BJ81" s="201">
        <f>(ОСВ!C43+ОСВ!C44+ОСВ!C46)</f>
        <v>19000</v>
      </c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3"/>
      <c r="CB81" s="201">
        <v>145852</v>
      </c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4"/>
    </row>
    <row r="82" spans="1:95" ht="12.75">
      <c r="A82" s="205" t="s">
        <v>160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195"/>
      <c r="BC82" s="206">
        <v>1621</v>
      </c>
      <c r="BD82" s="207"/>
      <c r="BE82" s="207"/>
      <c r="BF82" s="207"/>
      <c r="BG82" s="207"/>
      <c r="BH82" s="207"/>
      <c r="BI82" s="207"/>
      <c r="BJ82" s="225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7"/>
      <c r="CB82" s="201">
        <f>ОСВ!G45/1000</f>
        <v>2</v>
      </c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4"/>
    </row>
    <row r="83" spans="1:95" ht="12.75">
      <c r="A83" s="205" t="s">
        <v>194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195"/>
      <c r="BC83" s="206">
        <v>1625</v>
      </c>
      <c r="BD83" s="207"/>
      <c r="BE83" s="207"/>
      <c r="BF83" s="207"/>
      <c r="BG83" s="207"/>
      <c r="BH83" s="207"/>
      <c r="BI83" s="207"/>
      <c r="BJ83" s="225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7"/>
      <c r="CB83" s="201">
        <f>ОСВ!G51</f>
        <v>41170</v>
      </c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4"/>
    </row>
    <row r="84" spans="1:95" ht="12.75">
      <c r="A84" s="235" t="s">
        <v>195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06">
        <v>1630</v>
      </c>
      <c r="BD84" s="207"/>
      <c r="BE84" s="207"/>
      <c r="BF84" s="207"/>
      <c r="BG84" s="207"/>
      <c r="BH84" s="207"/>
      <c r="BI84" s="207"/>
      <c r="BJ84" s="201">
        <f>ОСВ!C52</f>
        <v>10000</v>
      </c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3"/>
      <c r="CB84" s="201">
        <f>ОСВ!G52</f>
        <v>95753</v>
      </c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4"/>
    </row>
    <row r="85" spans="1:95" ht="12.75">
      <c r="A85" s="235" t="s">
        <v>196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06">
        <v>1660</v>
      </c>
      <c r="BD85" s="207"/>
      <c r="BE85" s="207"/>
      <c r="BF85" s="207"/>
      <c r="BG85" s="207"/>
      <c r="BH85" s="207"/>
      <c r="BI85" s="207"/>
      <c r="BJ85" s="225"/>
      <c r="BK85" s="226"/>
      <c r="BL85" s="226"/>
      <c r="BM85" s="226"/>
      <c r="BN85" s="226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6"/>
      <c r="BZ85" s="226"/>
      <c r="CA85" s="227"/>
      <c r="CB85" s="225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226"/>
      <c r="CQ85" s="228"/>
    </row>
    <row r="86" spans="1:95" ht="12.75">
      <c r="A86" s="235" t="s">
        <v>197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06">
        <v>1665</v>
      </c>
      <c r="BD86" s="207"/>
      <c r="BE86" s="207"/>
      <c r="BF86" s="207"/>
      <c r="BG86" s="207"/>
      <c r="BH86" s="207"/>
      <c r="BI86" s="207"/>
      <c r="BJ86" s="225"/>
      <c r="BK86" s="226"/>
      <c r="BL86" s="226"/>
      <c r="BM86" s="226"/>
      <c r="BN86" s="226"/>
      <c r="BO86" s="226"/>
      <c r="BP86" s="226"/>
      <c r="BQ86" s="226"/>
      <c r="BR86" s="226"/>
      <c r="BS86" s="226"/>
      <c r="BT86" s="226"/>
      <c r="BU86" s="226"/>
      <c r="BV86" s="226"/>
      <c r="BW86" s="226"/>
      <c r="BX86" s="226"/>
      <c r="BY86" s="226"/>
      <c r="BZ86" s="226"/>
      <c r="CA86" s="227"/>
      <c r="CB86" s="225"/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/>
      <c r="CN86" s="226"/>
      <c r="CO86" s="226"/>
      <c r="CP86" s="226"/>
      <c r="CQ86" s="228"/>
    </row>
    <row r="87" spans="1:95" ht="12.75">
      <c r="A87" s="235" t="s">
        <v>198</v>
      </c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06">
        <v>1690</v>
      </c>
      <c r="BD87" s="207"/>
      <c r="BE87" s="207"/>
      <c r="BF87" s="207"/>
      <c r="BG87" s="207"/>
      <c r="BH87" s="207"/>
      <c r="BI87" s="207"/>
      <c r="BJ87" s="201">
        <f>ОСВ!C55</f>
        <v>2100</v>
      </c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3"/>
      <c r="CB87" s="201">
        <f>(ОСВ!G54+ОСВ!G55+ОСВ!G56+ОСВ!G53+ОСВ!G49)</f>
        <v>39125</v>
      </c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4"/>
    </row>
    <row r="88" spans="1:95" ht="12.75">
      <c r="A88" s="229" t="s">
        <v>199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23">
        <v>1695</v>
      </c>
      <c r="BD88" s="224"/>
      <c r="BE88" s="224"/>
      <c r="BF88" s="224"/>
      <c r="BG88" s="224"/>
      <c r="BH88" s="224"/>
      <c r="BI88" s="224"/>
      <c r="BJ88" s="231">
        <f>BJ78+BJ80+BJ81+BJ84+BJ87</f>
        <v>53900</v>
      </c>
      <c r="BK88" s="232"/>
      <c r="BL88" s="232"/>
      <c r="BM88" s="232"/>
      <c r="BN88" s="232"/>
      <c r="BO88" s="232"/>
      <c r="BP88" s="232"/>
      <c r="BQ88" s="232"/>
      <c r="BR88" s="232"/>
      <c r="BS88" s="232"/>
      <c r="BT88" s="232"/>
      <c r="BU88" s="232"/>
      <c r="BV88" s="232"/>
      <c r="BW88" s="232"/>
      <c r="BX88" s="232"/>
      <c r="BY88" s="232"/>
      <c r="BZ88" s="232"/>
      <c r="CA88" s="233"/>
      <c r="CB88" s="231">
        <f>CB78+CB80+CB81+CB83+CB84+CB87</f>
        <v>427620</v>
      </c>
      <c r="CC88" s="232"/>
      <c r="CD88" s="232"/>
      <c r="CE88" s="232"/>
      <c r="CF88" s="232"/>
      <c r="CG88" s="232"/>
      <c r="CH88" s="232"/>
      <c r="CI88" s="232"/>
      <c r="CJ88" s="232"/>
      <c r="CK88" s="232"/>
      <c r="CL88" s="232"/>
      <c r="CM88" s="232"/>
      <c r="CN88" s="232"/>
      <c r="CO88" s="232"/>
      <c r="CP88" s="232"/>
      <c r="CQ88" s="234"/>
    </row>
    <row r="89" spans="1:95" ht="12.75">
      <c r="A89" s="220" t="s">
        <v>200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2"/>
      <c r="BC89" s="223">
        <v>1700</v>
      </c>
      <c r="BD89" s="224"/>
      <c r="BE89" s="224"/>
      <c r="BF89" s="224"/>
      <c r="BG89" s="224"/>
      <c r="BH89" s="224"/>
      <c r="BI89" s="224"/>
      <c r="BJ89" s="225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7"/>
      <c r="CB89" s="225"/>
      <c r="CC89" s="226"/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8"/>
    </row>
    <row r="90" spans="1:97" ht="13.5" thickBot="1">
      <c r="A90" s="212" t="s">
        <v>168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4">
        <v>1900</v>
      </c>
      <c r="BD90" s="215"/>
      <c r="BE90" s="215"/>
      <c r="BF90" s="215"/>
      <c r="BG90" s="215"/>
      <c r="BH90" s="215"/>
      <c r="BI90" s="215"/>
      <c r="BJ90" s="216">
        <f>BJ68+BJ75+BJ88</f>
        <v>4098290</v>
      </c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8"/>
      <c r="CB90" s="216">
        <f>CB68+CB75+CB88</f>
        <v>5359613</v>
      </c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9"/>
      <c r="CR90" s="147">
        <f>BJ57-BJ90</f>
        <v>0</v>
      </c>
      <c r="CS90" s="176">
        <f>CB57-CB90</f>
        <v>-88101</v>
      </c>
    </row>
    <row r="93" spans="2:45" ht="15">
      <c r="B93" s="142" t="s">
        <v>201</v>
      </c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</row>
    <row r="95" spans="2:53" ht="15">
      <c r="B95" s="142" t="s">
        <v>202</v>
      </c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</row>
    <row r="98" spans="4:19" ht="15"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</row>
    <row r="99" spans="4:53" ht="15">
      <c r="D99" s="211" t="s">
        <v>203</v>
      </c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</row>
    <row r="100" spans="4:53" ht="15"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</row>
  </sheetData>
  <mergeCells count="288">
    <mergeCell ref="CE5:CQ5"/>
    <mergeCell ref="CE6:CH6"/>
    <mergeCell ref="CI6:CM6"/>
    <mergeCell ref="CN6:CQ6"/>
    <mergeCell ref="L7:BR7"/>
    <mergeCell ref="BS7:CD7"/>
    <mergeCell ref="CE7:CQ7"/>
    <mergeCell ref="L8:BR8"/>
    <mergeCell ref="BS8:CD8"/>
    <mergeCell ref="CE8:CQ8"/>
    <mergeCell ref="AM9:BR9"/>
    <mergeCell ref="BS9:CD9"/>
    <mergeCell ref="CE9:CQ9"/>
    <mergeCell ref="V10:BR10"/>
    <mergeCell ref="BS10:CC10"/>
    <mergeCell ref="CE10:CQ10"/>
    <mergeCell ref="X11:CD11"/>
    <mergeCell ref="CE11:CQ11"/>
    <mergeCell ref="B12:N12"/>
    <mergeCell ref="O12:CD12"/>
    <mergeCell ref="B13:CD13"/>
    <mergeCell ref="CE13:CQ13"/>
    <mergeCell ref="BL15:BO15"/>
    <mergeCell ref="CE15:CQ15"/>
    <mergeCell ref="BL16:BO16"/>
    <mergeCell ref="CE16:CQ16"/>
    <mergeCell ref="B18:CQ18"/>
    <mergeCell ref="AH19:BE19"/>
    <mergeCell ref="BG19:BO19"/>
    <mergeCell ref="BX21:CO21"/>
    <mergeCell ref="A23:BB23"/>
    <mergeCell ref="BC23:BI23"/>
    <mergeCell ref="BJ23:CA23"/>
    <mergeCell ref="CB23:CQ23"/>
    <mergeCell ref="A24:BB24"/>
    <mergeCell ref="BC24:BI24"/>
    <mergeCell ref="BJ24:CA24"/>
    <mergeCell ref="CB24:CQ24"/>
    <mergeCell ref="A25:BB25"/>
    <mergeCell ref="BC25:BI26"/>
    <mergeCell ref="BJ25:CA26"/>
    <mergeCell ref="CB25:CQ26"/>
    <mergeCell ref="A26:BB26"/>
    <mergeCell ref="A27:BB27"/>
    <mergeCell ref="BC27:BI27"/>
    <mergeCell ref="BJ27:CA27"/>
    <mergeCell ref="CB27:CQ27"/>
    <mergeCell ref="A28:BB28"/>
    <mergeCell ref="BC28:BI28"/>
    <mergeCell ref="BJ28:CA28"/>
    <mergeCell ref="CB28:CQ28"/>
    <mergeCell ref="A29:BB29"/>
    <mergeCell ref="BC29:BI29"/>
    <mergeCell ref="BJ29:CA29"/>
    <mergeCell ref="CB29:CQ29"/>
    <mergeCell ref="A30:BB30"/>
    <mergeCell ref="BC30:BI30"/>
    <mergeCell ref="BJ30:CA30"/>
    <mergeCell ref="CB30:CQ30"/>
    <mergeCell ref="A31:BB31"/>
    <mergeCell ref="BC31:BI31"/>
    <mergeCell ref="BJ31:CA31"/>
    <mergeCell ref="CB31:CQ31"/>
    <mergeCell ref="A32:BB32"/>
    <mergeCell ref="BC32:BI32"/>
    <mergeCell ref="BJ32:CA32"/>
    <mergeCell ref="CB32:CQ32"/>
    <mergeCell ref="A33:BB33"/>
    <mergeCell ref="BC33:BI33"/>
    <mergeCell ref="BJ33:CA33"/>
    <mergeCell ref="CB33:CQ33"/>
    <mergeCell ref="A34:BB34"/>
    <mergeCell ref="BC34:BI34"/>
    <mergeCell ref="BJ34:CA34"/>
    <mergeCell ref="CB34:CQ34"/>
    <mergeCell ref="A35:BB35"/>
    <mergeCell ref="BC35:BI36"/>
    <mergeCell ref="BJ35:CA36"/>
    <mergeCell ref="CB35:CQ36"/>
    <mergeCell ref="A36:BB36"/>
    <mergeCell ref="A37:BB37"/>
    <mergeCell ref="BC37:BI37"/>
    <mergeCell ref="BJ37:CA37"/>
    <mergeCell ref="CB37:CQ37"/>
    <mergeCell ref="A38:BB38"/>
    <mergeCell ref="BC38:BI38"/>
    <mergeCell ref="BJ38:CA38"/>
    <mergeCell ref="CB38:CQ38"/>
    <mergeCell ref="A39:BB39"/>
    <mergeCell ref="BC39:BI39"/>
    <mergeCell ref="BJ39:CA39"/>
    <mergeCell ref="CB39:CQ39"/>
    <mergeCell ref="A40:BB40"/>
    <mergeCell ref="BC40:BI40"/>
    <mergeCell ref="BJ40:CA40"/>
    <mergeCell ref="CB40:CQ40"/>
    <mergeCell ref="A41:BB41"/>
    <mergeCell ref="BC41:BI41"/>
    <mergeCell ref="BJ41:CA41"/>
    <mergeCell ref="CB41:CQ41"/>
    <mergeCell ref="A42:BB42"/>
    <mergeCell ref="BC42:BI43"/>
    <mergeCell ref="BJ42:CA43"/>
    <mergeCell ref="CB42:CQ43"/>
    <mergeCell ref="A43:BB43"/>
    <mergeCell ref="A44:BB44"/>
    <mergeCell ref="BC44:BI44"/>
    <mergeCell ref="BJ44:CA44"/>
    <mergeCell ref="CB44:CQ44"/>
    <mergeCell ref="A45:BB45"/>
    <mergeCell ref="BC45:BI45"/>
    <mergeCell ref="BJ45:CA45"/>
    <mergeCell ref="CB45:CQ45"/>
    <mergeCell ref="A46:BB46"/>
    <mergeCell ref="BC46:BI47"/>
    <mergeCell ref="BJ46:CA47"/>
    <mergeCell ref="CB46:CQ47"/>
    <mergeCell ref="A47:BB47"/>
    <mergeCell ref="A48:BB48"/>
    <mergeCell ref="BC48:BI48"/>
    <mergeCell ref="BJ48:CA48"/>
    <mergeCell ref="CB48:CQ48"/>
    <mergeCell ref="A49:BB49"/>
    <mergeCell ref="BC49:BI49"/>
    <mergeCell ref="BJ49:CA49"/>
    <mergeCell ref="CB49:CQ49"/>
    <mergeCell ref="A50:BB50"/>
    <mergeCell ref="BC50:BI50"/>
    <mergeCell ref="BJ50:CA50"/>
    <mergeCell ref="CB50:CQ50"/>
    <mergeCell ref="A51:BB51"/>
    <mergeCell ref="BC51:BI51"/>
    <mergeCell ref="BJ51:CA51"/>
    <mergeCell ref="CB51:CQ51"/>
    <mergeCell ref="A52:BB52"/>
    <mergeCell ref="BC52:BI52"/>
    <mergeCell ref="BJ52:CA52"/>
    <mergeCell ref="CB52:CQ52"/>
    <mergeCell ref="A53:BB53"/>
    <mergeCell ref="BC53:BI53"/>
    <mergeCell ref="BJ53:CA53"/>
    <mergeCell ref="CB53:CQ53"/>
    <mergeCell ref="A54:BB54"/>
    <mergeCell ref="BC54:BI54"/>
    <mergeCell ref="BJ54:CA54"/>
    <mergeCell ref="CB54:CQ54"/>
    <mergeCell ref="A55:BB55"/>
    <mergeCell ref="BC55:BI55"/>
    <mergeCell ref="BJ55:CA55"/>
    <mergeCell ref="CB55:CQ55"/>
    <mergeCell ref="A56:BB56"/>
    <mergeCell ref="BC56:BI56"/>
    <mergeCell ref="BJ56:CA56"/>
    <mergeCell ref="CB56:CQ56"/>
    <mergeCell ref="A57:BB57"/>
    <mergeCell ref="BC57:BI57"/>
    <mergeCell ref="BJ57:CA57"/>
    <mergeCell ref="CB57:CQ57"/>
    <mergeCell ref="A58:BB58"/>
    <mergeCell ref="BC58:BI58"/>
    <mergeCell ref="BJ58:CA58"/>
    <mergeCell ref="CB58:CQ58"/>
    <mergeCell ref="A59:BB59"/>
    <mergeCell ref="BC59:BI59"/>
    <mergeCell ref="BJ59:CA59"/>
    <mergeCell ref="CB59:CQ59"/>
    <mergeCell ref="A60:BB60"/>
    <mergeCell ref="BC60:BI61"/>
    <mergeCell ref="BJ60:CA61"/>
    <mergeCell ref="CB60:CQ61"/>
    <mergeCell ref="A61:BB61"/>
    <mergeCell ref="A62:BB62"/>
    <mergeCell ref="BC62:BI62"/>
    <mergeCell ref="BJ62:CA62"/>
    <mergeCell ref="CB62:CQ62"/>
    <mergeCell ref="A63:BB63"/>
    <mergeCell ref="BC63:BI63"/>
    <mergeCell ref="BJ63:CA63"/>
    <mergeCell ref="CB63:CQ63"/>
    <mergeCell ref="A64:BB64"/>
    <mergeCell ref="BC64:BI64"/>
    <mergeCell ref="BJ64:CA64"/>
    <mergeCell ref="CB64:CQ64"/>
    <mergeCell ref="A65:BB65"/>
    <mergeCell ref="BC65:BI65"/>
    <mergeCell ref="BJ65:CA65"/>
    <mergeCell ref="CB65:CQ65"/>
    <mergeCell ref="A66:BB66"/>
    <mergeCell ref="BC66:BI66"/>
    <mergeCell ref="BJ66:BK66"/>
    <mergeCell ref="BL66:BY66"/>
    <mergeCell ref="BZ66:CA66"/>
    <mergeCell ref="CB66:CC66"/>
    <mergeCell ref="CD66:CP66"/>
    <mergeCell ref="A67:BB67"/>
    <mergeCell ref="BC67:BI67"/>
    <mergeCell ref="BJ67:BK67"/>
    <mergeCell ref="BL67:BY67"/>
    <mergeCell ref="BZ67:CA67"/>
    <mergeCell ref="CB67:CC67"/>
    <mergeCell ref="CD67:CP67"/>
    <mergeCell ref="A68:BB68"/>
    <mergeCell ref="BC68:BI68"/>
    <mergeCell ref="BJ68:CA68"/>
    <mergeCell ref="CB68:CQ68"/>
    <mergeCell ref="A69:BB69"/>
    <mergeCell ref="BC69:BI70"/>
    <mergeCell ref="BJ69:CA70"/>
    <mergeCell ref="CB69:CQ70"/>
    <mergeCell ref="A70:BB70"/>
    <mergeCell ref="A71:BB71"/>
    <mergeCell ref="BC71:BI71"/>
    <mergeCell ref="BJ71:CA71"/>
    <mergeCell ref="CB71:CQ71"/>
    <mergeCell ref="A72:BB72"/>
    <mergeCell ref="BC72:BI72"/>
    <mergeCell ref="BJ72:CA72"/>
    <mergeCell ref="CB72:CQ72"/>
    <mergeCell ref="A73:BB73"/>
    <mergeCell ref="BC73:BI73"/>
    <mergeCell ref="BJ73:CA73"/>
    <mergeCell ref="CB73:CQ73"/>
    <mergeCell ref="A74:BB74"/>
    <mergeCell ref="BC74:BI74"/>
    <mergeCell ref="BJ74:CA74"/>
    <mergeCell ref="CB74:CQ74"/>
    <mergeCell ref="A75:BB75"/>
    <mergeCell ref="BC75:BI75"/>
    <mergeCell ref="BJ75:CA75"/>
    <mergeCell ref="CB75:CQ75"/>
    <mergeCell ref="A76:BB76"/>
    <mergeCell ref="BC76:BI77"/>
    <mergeCell ref="BJ76:CA77"/>
    <mergeCell ref="CB76:CQ77"/>
    <mergeCell ref="A77:BB77"/>
    <mergeCell ref="A78:BB78"/>
    <mergeCell ref="BC78:BI79"/>
    <mergeCell ref="BJ78:CA79"/>
    <mergeCell ref="CB78:CQ79"/>
    <mergeCell ref="A79:BB79"/>
    <mergeCell ref="A80:BB80"/>
    <mergeCell ref="BC80:BI80"/>
    <mergeCell ref="BJ80:CA80"/>
    <mergeCell ref="CB80:CQ80"/>
    <mergeCell ref="A81:BB81"/>
    <mergeCell ref="BC81:BI81"/>
    <mergeCell ref="BJ81:CA81"/>
    <mergeCell ref="CB81:CQ81"/>
    <mergeCell ref="A82:BB82"/>
    <mergeCell ref="BC82:BI82"/>
    <mergeCell ref="BJ82:CA82"/>
    <mergeCell ref="CB82:CQ82"/>
    <mergeCell ref="A83:BB83"/>
    <mergeCell ref="BC83:BI83"/>
    <mergeCell ref="BJ83:CA83"/>
    <mergeCell ref="CB83:CQ83"/>
    <mergeCell ref="A84:BB84"/>
    <mergeCell ref="BC84:BI84"/>
    <mergeCell ref="BJ84:CA84"/>
    <mergeCell ref="CB84:CQ84"/>
    <mergeCell ref="A85:BB85"/>
    <mergeCell ref="BC85:BI85"/>
    <mergeCell ref="BJ85:CA85"/>
    <mergeCell ref="CB85:CQ85"/>
    <mergeCell ref="A86:BB86"/>
    <mergeCell ref="BC86:BI86"/>
    <mergeCell ref="BJ86:CA86"/>
    <mergeCell ref="CB86:CQ86"/>
    <mergeCell ref="A87:BB87"/>
    <mergeCell ref="BC87:BI87"/>
    <mergeCell ref="BJ87:CA87"/>
    <mergeCell ref="CB87:CQ87"/>
    <mergeCell ref="A88:BB88"/>
    <mergeCell ref="BC88:BI88"/>
    <mergeCell ref="BJ88:CA88"/>
    <mergeCell ref="CB88:CQ88"/>
    <mergeCell ref="A89:BB89"/>
    <mergeCell ref="BC89:BI89"/>
    <mergeCell ref="BJ89:CA89"/>
    <mergeCell ref="CB89:CQ89"/>
    <mergeCell ref="A90:BB90"/>
    <mergeCell ref="BC90:BI90"/>
    <mergeCell ref="BJ90:CA90"/>
    <mergeCell ref="CB90:CQ90"/>
    <mergeCell ref="M93:AS93"/>
    <mergeCell ref="W95:BA95"/>
    <mergeCell ref="D98:S98"/>
    <mergeCell ref="D99:BA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T78"/>
  <sheetViews>
    <sheetView zoomScale="130" zoomScaleNormal="130" workbookViewId="0" topLeftCell="A26">
      <selection activeCell="BH63" sqref="C63:BS82"/>
    </sheetView>
  </sheetViews>
  <sheetFormatPr defaultColWidth="9.00390625" defaultRowHeight="12.75"/>
  <cols>
    <col min="1" max="70" width="1.25" style="31" customWidth="1"/>
    <col min="71" max="16384" width="9.125" style="30" customWidth="1"/>
  </cols>
  <sheetData>
    <row r="2" spans="3:70" ht="12.75">
      <c r="C2" s="32"/>
      <c r="D2" s="32"/>
      <c r="BJ2" s="328" t="s">
        <v>271</v>
      </c>
      <c r="BK2" s="329"/>
      <c r="BL2" s="329"/>
      <c r="BM2" s="329"/>
      <c r="BN2" s="329"/>
      <c r="BO2" s="329"/>
      <c r="BP2" s="329"/>
      <c r="BQ2" s="329"/>
      <c r="BR2" s="330"/>
    </row>
    <row r="3" spans="3:70" ht="12.75">
      <c r="C3" s="331" t="s">
        <v>114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2"/>
      <c r="BK3" s="332"/>
      <c r="BL3" s="332"/>
      <c r="BM3" s="333"/>
      <c r="BN3" s="333"/>
      <c r="BO3" s="333"/>
      <c r="BP3" s="285" t="s">
        <v>115</v>
      </c>
      <c r="BQ3" s="285"/>
      <c r="BR3" s="285"/>
    </row>
    <row r="4" spans="3:70" ht="12.75">
      <c r="C4" s="334" t="s">
        <v>116</v>
      </c>
      <c r="D4" s="334"/>
      <c r="E4" s="334"/>
      <c r="F4" s="334"/>
      <c r="G4" s="334"/>
      <c r="H4" s="334"/>
      <c r="I4" s="334"/>
      <c r="J4" s="334"/>
      <c r="K4" s="334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BA4" s="334" t="s">
        <v>117</v>
      </c>
      <c r="BB4" s="334"/>
      <c r="BC4" s="334"/>
      <c r="BD4" s="334"/>
      <c r="BE4" s="334"/>
      <c r="BF4" s="334"/>
      <c r="BG4" s="334"/>
      <c r="BH4" s="334"/>
      <c r="BI4" s="336"/>
      <c r="BJ4" s="337"/>
      <c r="BK4" s="338"/>
      <c r="BL4" s="338"/>
      <c r="BM4" s="338"/>
      <c r="BN4" s="338"/>
      <c r="BO4" s="338"/>
      <c r="BP4" s="338"/>
      <c r="BQ4" s="338"/>
      <c r="BR4" s="339"/>
    </row>
    <row r="5" spans="11:50" ht="12.75">
      <c r="K5" s="34"/>
      <c r="L5" s="323" t="s">
        <v>205</v>
      </c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</row>
    <row r="7" spans="3:70" ht="15.75">
      <c r="C7" s="324" t="s">
        <v>206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</row>
    <row r="8" spans="2:70" ht="15.75"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4" t="s">
        <v>207</v>
      </c>
      <c r="Z8" s="324"/>
      <c r="AA8" s="324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4">
        <v>20</v>
      </c>
      <c r="AQ8" s="324"/>
      <c r="AR8" s="324"/>
      <c r="AS8" s="327"/>
      <c r="AT8" s="327"/>
      <c r="AU8" s="327"/>
      <c r="AV8" s="324" t="s">
        <v>208</v>
      </c>
      <c r="AW8" s="324"/>
      <c r="AX8" s="324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</row>
    <row r="10" spans="42:70" ht="12.75">
      <c r="AP10" s="340" t="s">
        <v>272</v>
      </c>
      <c r="AQ10" s="340"/>
      <c r="AR10" s="340"/>
      <c r="AS10" s="340"/>
      <c r="AT10" s="340"/>
      <c r="AU10" s="340"/>
      <c r="AV10" s="340"/>
      <c r="AW10" s="340"/>
      <c r="AX10" s="341" t="s">
        <v>132</v>
      </c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2"/>
      <c r="BJ10" s="328">
        <v>1801003</v>
      </c>
      <c r="BK10" s="329"/>
      <c r="BL10" s="329"/>
      <c r="BM10" s="329"/>
      <c r="BN10" s="329"/>
      <c r="BO10" s="329"/>
      <c r="BP10" s="329"/>
      <c r="BQ10" s="329"/>
      <c r="BR10" s="330"/>
    </row>
    <row r="11" ht="6" customHeight="1"/>
    <row r="12" spans="3:70" ht="36.75" customHeight="1">
      <c r="C12" s="285" t="s">
        <v>209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 t="s">
        <v>134</v>
      </c>
      <c r="AV12" s="285"/>
      <c r="AW12" s="285"/>
      <c r="AX12" s="285"/>
      <c r="AY12" s="285" t="s">
        <v>210</v>
      </c>
      <c r="AZ12" s="285"/>
      <c r="BA12" s="285"/>
      <c r="BB12" s="285"/>
      <c r="BC12" s="285"/>
      <c r="BD12" s="285"/>
      <c r="BE12" s="285"/>
      <c r="BF12" s="285"/>
      <c r="BG12" s="285"/>
      <c r="BH12" s="285" t="s">
        <v>273</v>
      </c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</row>
    <row r="13" spans="3:70" ht="12.75">
      <c r="C13" s="285">
        <v>1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>
        <v>2</v>
      </c>
      <c r="AV13" s="285"/>
      <c r="AW13" s="285"/>
      <c r="AX13" s="285"/>
      <c r="AY13" s="285">
        <v>3</v>
      </c>
      <c r="AZ13" s="285"/>
      <c r="BA13" s="285"/>
      <c r="BB13" s="285"/>
      <c r="BC13" s="285"/>
      <c r="BD13" s="285"/>
      <c r="BE13" s="285"/>
      <c r="BF13" s="285"/>
      <c r="BG13" s="285"/>
      <c r="BH13" s="285">
        <v>4</v>
      </c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</row>
    <row r="14" spans="3:70" ht="12.75">
      <c r="C14" s="281" t="s">
        <v>274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2">
        <v>2000</v>
      </c>
      <c r="AV14" s="282"/>
      <c r="AW14" s="282"/>
      <c r="AX14" s="282"/>
      <c r="AY14" s="316">
        <f>(ОСВ!G57+ОСВ!G58-ОСВ!F59)/1000</f>
        <v>674</v>
      </c>
      <c r="AZ14" s="316"/>
      <c r="BA14" s="316"/>
      <c r="BB14" s="316"/>
      <c r="BC14" s="316"/>
      <c r="BD14" s="316"/>
      <c r="BE14" s="316"/>
      <c r="BF14" s="316"/>
      <c r="BG14" s="316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</row>
    <row r="15" spans="3:70" ht="12.75">
      <c r="C15" s="312" t="s">
        <v>275</v>
      </c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22">
        <v>2050</v>
      </c>
      <c r="AV15" s="322"/>
      <c r="AW15" s="322"/>
      <c r="AX15" s="322"/>
      <c r="AY15" s="41" t="s">
        <v>177</v>
      </c>
      <c r="AZ15" s="314">
        <f>(ОСВ!F63+ОСВ!F64)/1000</f>
        <v>285</v>
      </c>
      <c r="BA15" s="314"/>
      <c r="BB15" s="314"/>
      <c r="BC15" s="314"/>
      <c r="BD15" s="314"/>
      <c r="BE15" s="314"/>
      <c r="BF15" s="314"/>
      <c r="BG15" s="40" t="s">
        <v>178</v>
      </c>
      <c r="BH15" s="41" t="s">
        <v>177</v>
      </c>
      <c r="BI15" s="313"/>
      <c r="BJ15" s="313"/>
      <c r="BK15" s="313"/>
      <c r="BL15" s="313"/>
      <c r="BM15" s="313"/>
      <c r="BN15" s="313"/>
      <c r="BO15" s="313"/>
      <c r="BP15" s="313"/>
      <c r="BQ15" s="313"/>
      <c r="BR15" s="40" t="s">
        <v>178</v>
      </c>
    </row>
    <row r="16" spans="3:70" ht="12.75">
      <c r="C16" s="288" t="s">
        <v>276</v>
      </c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319">
        <v>2090</v>
      </c>
      <c r="AV16" s="319"/>
      <c r="AW16" s="319"/>
      <c r="AX16" s="319"/>
      <c r="AY16" s="320">
        <f>AY14-AZ15</f>
        <v>389</v>
      </c>
      <c r="AZ16" s="321"/>
      <c r="BA16" s="321"/>
      <c r="BB16" s="321"/>
      <c r="BC16" s="321"/>
      <c r="BD16" s="321"/>
      <c r="BE16" s="321"/>
      <c r="BF16" s="321"/>
      <c r="BG16" s="321"/>
      <c r="BH16" s="303"/>
      <c r="BI16" s="304"/>
      <c r="BJ16" s="304"/>
      <c r="BK16" s="304"/>
      <c r="BL16" s="304"/>
      <c r="BM16" s="304"/>
      <c r="BN16" s="304"/>
      <c r="BO16" s="304"/>
      <c r="BP16" s="304"/>
      <c r="BQ16" s="304"/>
      <c r="BR16" s="305"/>
    </row>
    <row r="17" spans="3:70" ht="12.75">
      <c r="C17" s="309" t="s">
        <v>277</v>
      </c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9"/>
      <c r="AV17" s="319"/>
      <c r="AW17" s="319"/>
      <c r="AX17" s="319"/>
      <c r="AY17" s="321"/>
      <c r="AZ17" s="321"/>
      <c r="BA17" s="321"/>
      <c r="BB17" s="321"/>
      <c r="BC17" s="321"/>
      <c r="BD17" s="321"/>
      <c r="BE17" s="321"/>
      <c r="BF17" s="321"/>
      <c r="BG17" s="321"/>
      <c r="BH17" s="306"/>
      <c r="BI17" s="307"/>
      <c r="BJ17" s="307"/>
      <c r="BK17" s="307"/>
      <c r="BL17" s="307"/>
      <c r="BM17" s="307"/>
      <c r="BN17" s="307"/>
      <c r="BO17" s="307"/>
      <c r="BP17" s="307"/>
      <c r="BQ17" s="307"/>
      <c r="BR17" s="308"/>
    </row>
    <row r="18" spans="3:70" ht="12.75">
      <c r="C18" s="286" t="s">
        <v>278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317">
        <v>2095</v>
      </c>
      <c r="AV18" s="317"/>
      <c r="AW18" s="317"/>
      <c r="AX18" s="317"/>
      <c r="AY18" s="42" t="s">
        <v>177</v>
      </c>
      <c r="AZ18" s="298"/>
      <c r="BA18" s="298"/>
      <c r="BB18" s="298"/>
      <c r="BC18" s="298"/>
      <c r="BD18" s="298"/>
      <c r="BE18" s="298"/>
      <c r="BF18" s="298"/>
      <c r="BG18" s="43" t="s">
        <v>178</v>
      </c>
      <c r="BH18" s="44" t="s">
        <v>177</v>
      </c>
      <c r="BI18" s="318"/>
      <c r="BJ18" s="318"/>
      <c r="BK18" s="318"/>
      <c r="BL18" s="318"/>
      <c r="BM18" s="318"/>
      <c r="BN18" s="318"/>
      <c r="BO18" s="318"/>
      <c r="BP18" s="318"/>
      <c r="BQ18" s="318"/>
      <c r="BR18" s="45" t="s">
        <v>178</v>
      </c>
    </row>
    <row r="19" spans="3:70" ht="12.75">
      <c r="C19" s="281" t="s">
        <v>279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2">
        <v>2120</v>
      </c>
      <c r="AV19" s="282"/>
      <c r="AW19" s="282"/>
      <c r="AX19" s="282"/>
      <c r="AY19" s="316">
        <f>(ОСВ!G60+ОСВ!G61)/1000</f>
        <v>38</v>
      </c>
      <c r="AZ19" s="316"/>
      <c r="BA19" s="316"/>
      <c r="BB19" s="316"/>
      <c r="BC19" s="316"/>
      <c r="BD19" s="316"/>
      <c r="BE19" s="316"/>
      <c r="BF19" s="316"/>
      <c r="BG19" s="316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</row>
    <row r="20" spans="3:72" ht="12.75">
      <c r="C20" s="281" t="s">
        <v>280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2">
        <v>2130</v>
      </c>
      <c r="AV20" s="282"/>
      <c r="AW20" s="282"/>
      <c r="AX20" s="282"/>
      <c r="AY20" s="38" t="s">
        <v>177</v>
      </c>
      <c r="AZ20" s="314">
        <f>ОСВ!F66/1000</f>
        <v>79</v>
      </c>
      <c r="BA20" s="314"/>
      <c r="BB20" s="314"/>
      <c r="BC20" s="314"/>
      <c r="BD20" s="314"/>
      <c r="BE20" s="314"/>
      <c r="BF20" s="314"/>
      <c r="BG20" s="39" t="s">
        <v>178</v>
      </c>
      <c r="BH20" s="41" t="s">
        <v>177</v>
      </c>
      <c r="BI20" s="313"/>
      <c r="BJ20" s="313"/>
      <c r="BK20" s="313"/>
      <c r="BL20" s="313"/>
      <c r="BM20" s="313"/>
      <c r="BN20" s="313"/>
      <c r="BO20" s="313"/>
      <c r="BP20" s="313"/>
      <c r="BQ20" s="313"/>
      <c r="BR20" s="40" t="s">
        <v>178</v>
      </c>
      <c r="BT20" s="30">
        <f>79+78+23</f>
        <v>180</v>
      </c>
    </row>
    <row r="21" spans="3:70" ht="12.75">
      <c r="C21" s="281" t="s">
        <v>211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2">
        <v>2150</v>
      </c>
      <c r="AV21" s="282"/>
      <c r="AW21" s="282"/>
      <c r="AX21" s="282"/>
      <c r="AY21" s="38" t="s">
        <v>177</v>
      </c>
      <c r="AZ21" s="314">
        <f>ОСВ!F67/1000</f>
        <v>78</v>
      </c>
      <c r="BA21" s="314"/>
      <c r="BB21" s="314"/>
      <c r="BC21" s="314"/>
      <c r="BD21" s="314"/>
      <c r="BE21" s="314"/>
      <c r="BF21" s="314"/>
      <c r="BG21" s="39" t="s">
        <v>178</v>
      </c>
      <c r="BH21" s="41" t="s">
        <v>177</v>
      </c>
      <c r="BI21" s="313"/>
      <c r="BJ21" s="313"/>
      <c r="BK21" s="313"/>
      <c r="BL21" s="313"/>
      <c r="BM21" s="313"/>
      <c r="BN21" s="313"/>
      <c r="BO21" s="313"/>
      <c r="BP21" s="313"/>
      <c r="BQ21" s="313"/>
      <c r="BR21" s="40" t="s">
        <v>178</v>
      </c>
    </row>
    <row r="22" spans="3:70" ht="12.75">
      <c r="C22" s="312" t="s">
        <v>228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282">
        <v>2180</v>
      </c>
      <c r="AV22" s="282"/>
      <c r="AW22" s="282"/>
      <c r="AX22" s="282"/>
      <c r="AY22" s="38" t="s">
        <v>177</v>
      </c>
      <c r="AZ22" s="314">
        <f>(ОСВ!F68+ОСВ!F69+ОСВ!F70)/1000</f>
        <v>23</v>
      </c>
      <c r="BA22" s="314"/>
      <c r="BB22" s="314"/>
      <c r="BC22" s="314"/>
      <c r="BD22" s="314"/>
      <c r="BE22" s="314"/>
      <c r="BF22" s="314"/>
      <c r="BG22" s="39" t="s">
        <v>178</v>
      </c>
      <c r="BH22" s="41" t="s">
        <v>177</v>
      </c>
      <c r="BI22" s="313"/>
      <c r="BJ22" s="313"/>
      <c r="BK22" s="313"/>
      <c r="BL22" s="313"/>
      <c r="BM22" s="313"/>
      <c r="BN22" s="313"/>
      <c r="BO22" s="313"/>
      <c r="BP22" s="313"/>
      <c r="BQ22" s="313"/>
      <c r="BR22" s="40" t="s">
        <v>178</v>
      </c>
    </row>
    <row r="23" spans="3:70" ht="12.75">
      <c r="C23" s="288" t="s">
        <v>281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90"/>
      <c r="AU23" s="291">
        <v>2190</v>
      </c>
      <c r="AV23" s="292"/>
      <c r="AW23" s="292"/>
      <c r="AX23" s="293"/>
      <c r="AY23" s="297">
        <f>AY16+AY19-AZ20-AZ21-AZ22</f>
        <v>247</v>
      </c>
      <c r="AZ23" s="298"/>
      <c r="BA23" s="298"/>
      <c r="BB23" s="298"/>
      <c r="BC23" s="298"/>
      <c r="BD23" s="298"/>
      <c r="BE23" s="298"/>
      <c r="BF23" s="298"/>
      <c r="BG23" s="299"/>
      <c r="BH23" s="303"/>
      <c r="BI23" s="304"/>
      <c r="BJ23" s="304"/>
      <c r="BK23" s="304"/>
      <c r="BL23" s="304"/>
      <c r="BM23" s="304"/>
      <c r="BN23" s="304"/>
      <c r="BO23" s="304"/>
      <c r="BP23" s="304"/>
      <c r="BQ23" s="304"/>
      <c r="BR23" s="305"/>
    </row>
    <row r="24" spans="3:70" ht="12.75">
      <c r="C24" s="309" t="s">
        <v>277</v>
      </c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1"/>
      <c r="AU24" s="294"/>
      <c r="AV24" s="295"/>
      <c r="AW24" s="295"/>
      <c r="AX24" s="296"/>
      <c r="AY24" s="300"/>
      <c r="AZ24" s="301"/>
      <c r="BA24" s="301"/>
      <c r="BB24" s="301"/>
      <c r="BC24" s="301"/>
      <c r="BD24" s="301"/>
      <c r="BE24" s="301"/>
      <c r="BF24" s="301"/>
      <c r="BG24" s="302"/>
      <c r="BH24" s="306"/>
      <c r="BI24" s="307"/>
      <c r="BJ24" s="307"/>
      <c r="BK24" s="307"/>
      <c r="BL24" s="307"/>
      <c r="BM24" s="307"/>
      <c r="BN24" s="307"/>
      <c r="BO24" s="307"/>
      <c r="BP24" s="307"/>
      <c r="BQ24" s="307"/>
      <c r="BR24" s="308"/>
    </row>
    <row r="25" spans="3:70" ht="12.75">
      <c r="C25" s="286" t="s">
        <v>278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2">
        <v>2195</v>
      </c>
      <c r="AV25" s="282"/>
      <c r="AW25" s="282"/>
      <c r="AX25" s="282"/>
      <c r="AY25" s="46" t="s">
        <v>177</v>
      </c>
      <c r="AZ25" s="280"/>
      <c r="BA25" s="280"/>
      <c r="BB25" s="280"/>
      <c r="BC25" s="280"/>
      <c r="BD25" s="280"/>
      <c r="BE25" s="280"/>
      <c r="BF25" s="280"/>
      <c r="BG25" s="47" t="s">
        <v>178</v>
      </c>
      <c r="BH25" s="48" t="s">
        <v>177</v>
      </c>
      <c r="BI25" s="287"/>
      <c r="BJ25" s="287"/>
      <c r="BK25" s="287"/>
      <c r="BL25" s="287"/>
      <c r="BM25" s="287"/>
      <c r="BN25" s="287"/>
      <c r="BO25" s="287"/>
      <c r="BP25" s="287"/>
      <c r="BQ25" s="287"/>
      <c r="BR25" s="49" t="s">
        <v>178</v>
      </c>
    </row>
    <row r="26" spans="3:70" ht="12.75">
      <c r="C26" s="281" t="s">
        <v>282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2">
        <v>2200</v>
      </c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</row>
    <row r="27" spans="3:70" ht="12.75">
      <c r="C27" s="281" t="s">
        <v>283</v>
      </c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2">
        <v>2220</v>
      </c>
      <c r="AV27" s="282"/>
      <c r="AW27" s="282"/>
      <c r="AX27" s="282"/>
      <c r="AY27" s="282">
        <v>1</v>
      </c>
      <c r="AZ27" s="282"/>
      <c r="BA27" s="282"/>
      <c r="BB27" s="282"/>
      <c r="BC27" s="282"/>
      <c r="BD27" s="282"/>
      <c r="BE27" s="282"/>
      <c r="BF27" s="282"/>
      <c r="BG27" s="282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</row>
    <row r="28" spans="3:70" ht="12.75">
      <c r="C28" s="281" t="s">
        <v>284</v>
      </c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2">
        <v>2240</v>
      </c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</row>
    <row r="29" spans="3:70" ht="12.75">
      <c r="C29" s="281" t="s">
        <v>285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2">
        <v>2250</v>
      </c>
      <c r="AV29" s="282"/>
      <c r="AW29" s="282"/>
      <c r="AX29" s="282"/>
      <c r="AY29" s="38" t="s">
        <v>177</v>
      </c>
      <c r="AZ29" s="314">
        <f>ОСВ!F71/1000</f>
        <v>3</v>
      </c>
      <c r="BA29" s="314"/>
      <c r="BB29" s="314"/>
      <c r="BC29" s="314"/>
      <c r="BD29" s="314"/>
      <c r="BE29" s="314"/>
      <c r="BF29" s="314"/>
      <c r="BG29" s="39" t="s">
        <v>178</v>
      </c>
      <c r="BH29" s="41" t="s">
        <v>177</v>
      </c>
      <c r="BI29" s="313"/>
      <c r="BJ29" s="313"/>
      <c r="BK29" s="313"/>
      <c r="BL29" s="313"/>
      <c r="BM29" s="313"/>
      <c r="BN29" s="313"/>
      <c r="BO29" s="313"/>
      <c r="BP29" s="313"/>
      <c r="BQ29" s="313"/>
      <c r="BR29" s="40" t="s">
        <v>178</v>
      </c>
    </row>
    <row r="30" spans="3:70" ht="12.75">
      <c r="C30" s="281" t="s">
        <v>286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2">
        <v>2255</v>
      </c>
      <c r="AV30" s="282"/>
      <c r="AW30" s="282"/>
      <c r="AX30" s="282"/>
      <c r="AY30" s="38" t="s">
        <v>177</v>
      </c>
      <c r="AZ30" s="283"/>
      <c r="BA30" s="283"/>
      <c r="BB30" s="283"/>
      <c r="BC30" s="283"/>
      <c r="BD30" s="283"/>
      <c r="BE30" s="283"/>
      <c r="BF30" s="283"/>
      <c r="BG30" s="39" t="s">
        <v>178</v>
      </c>
      <c r="BH30" s="41" t="s">
        <v>177</v>
      </c>
      <c r="BI30" s="313"/>
      <c r="BJ30" s="313"/>
      <c r="BK30" s="313"/>
      <c r="BL30" s="313"/>
      <c r="BM30" s="313"/>
      <c r="BN30" s="313"/>
      <c r="BO30" s="313"/>
      <c r="BP30" s="313"/>
      <c r="BQ30" s="313"/>
      <c r="BR30" s="40" t="s">
        <v>178</v>
      </c>
    </row>
    <row r="31" spans="3:70" ht="12.75">
      <c r="C31" s="312" t="s">
        <v>287</v>
      </c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282">
        <v>2270</v>
      </c>
      <c r="AV31" s="282"/>
      <c r="AW31" s="282"/>
      <c r="AX31" s="282"/>
      <c r="AY31" s="38" t="s">
        <v>177</v>
      </c>
      <c r="AZ31" s="283">
        <f>ОСВ!F73/1000</f>
        <v>35</v>
      </c>
      <c r="BA31" s="283"/>
      <c r="BB31" s="283"/>
      <c r="BC31" s="283"/>
      <c r="BD31" s="283"/>
      <c r="BE31" s="283"/>
      <c r="BF31" s="283"/>
      <c r="BG31" s="39" t="s">
        <v>178</v>
      </c>
      <c r="BH31" s="41" t="s">
        <v>177</v>
      </c>
      <c r="BI31" s="313"/>
      <c r="BJ31" s="313"/>
      <c r="BK31" s="313"/>
      <c r="BL31" s="313"/>
      <c r="BM31" s="313"/>
      <c r="BN31" s="313"/>
      <c r="BO31" s="313"/>
      <c r="BP31" s="313"/>
      <c r="BQ31" s="313"/>
      <c r="BR31" s="40" t="s">
        <v>178</v>
      </c>
    </row>
    <row r="32" spans="3:70" ht="12.75">
      <c r="C32" s="288" t="s">
        <v>288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90"/>
      <c r="AU32" s="291">
        <v>2290</v>
      </c>
      <c r="AV32" s="292"/>
      <c r="AW32" s="292"/>
      <c r="AX32" s="293"/>
      <c r="AY32" s="297">
        <f>AY23+AY26+AY27+AY28-AZ29-AZ30-AZ31</f>
        <v>210</v>
      </c>
      <c r="AZ32" s="298"/>
      <c r="BA32" s="298"/>
      <c r="BB32" s="298"/>
      <c r="BC32" s="298"/>
      <c r="BD32" s="298"/>
      <c r="BE32" s="298"/>
      <c r="BF32" s="298"/>
      <c r="BG32" s="299"/>
      <c r="BH32" s="303"/>
      <c r="BI32" s="304"/>
      <c r="BJ32" s="304"/>
      <c r="BK32" s="304"/>
      <c r="BL32" s="304"/>
      <c r="BM32" s="304"/>
      <c r="BN32" s="304"/>
      <c r="BO32" s="304"/>
      <c r="BP32" s="304"/>
      <c r="BQ32" s="304"/>
      <c r="BR32" s="305"/>
    </row>
    <row r="33" spans="3:70" ht="12.75">
      <c r="C33" s="309" t="s">
        <v>277</v>
      </c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1"/>
      <c r="AU33" s="294"/>
      <c r="AV33" s="295"/>
      <c r="AW33" s="295"/>
      <c r="AX33" s="296"/>
      <c r="AY33" s="300"/>
      <c r="AZ33" s="301"/>
      <c r="BA33" s="301"/>
      <c r="BB33" s="301"/>
      <c r="BC33" s="301"/>
      <c r="BD33" s="301"/>
      <c r="BE33" s="301"/>
      <c r="BF33" s="301"/>
      <c r="BG33" s="302"/>
      <c r="BH33" s="306"/>
      <c r="BI33" s="307"/>
      <c r="BJ33" s="307"/>
      <c r="BK33" s="307"/>
      <c r="BL33" s="307"/>
      <c r="BM33" s="307"/>
      <c r="BN33" s="307"/>
      <c r="BO33" s="307"/>
      <c r="BP33" s="307"/>
      <c r="BQ33" s="307"/>
      <c r="BR33" s="308"/>
    </row>
    <row r="34" spans="3:70" ht="12.75">
      <c r="C34" s="286" t="s">
        <v>278</v>
      </c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2">
        <v>2295</v>
      </c>
      <c r="AV34" s="282"/>
      <c r="AW34" s="282"/>
      <c r="AX34" s="282"/>
      <c r="AY34" s="42" t="s">
        <v>177</v>
      </c>
      <c r="AZ34" s="298"/>
      <c r="BA34" s="298"/>
      <c r="BB34" s="298"/>
      <c r="BC34" s="298"/>
      <c r="BD34" s="298"/>
      <c r="BE34" s="298"/>
      <c r="BF34" s="298"/>
      <c r="BG34" s="43" t="s">
        <v>178</v>
      </c>
      <c r="BH34" s="48" t="s">
        <v>177</v>
      </c>
      <c r="BI34" s="287"/>
      <c r="BJ34" s="287"/>
      <c r="BK34" s="287"/>
      <c r="BL34" s="287"/>
      <c r="BM34" s="287"/>
      <c r="BN34" s="287"/>
      <c r="BO34" s="287"/>
      <c r="BP34" s="287"/>
      <c r="BQ34" s="287"/>
      <c r="BR34" s="49" t="s">
        <v>178</v>
      </c>
    </row>
    <row r="35" spans="3:70" ht="12.75">
      <c r="C35" s="281" t="s">
        <v>212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2">
        <v>2300</v>
      </c>
      <c r="AV35" s="282"/>
      <c r="AW35" s="282"/>
      <c r="AX35" s="343"/>
      <c r="AY35" s="50" t="s">
        <v>177</v>
      </c>
      <c r="AZ35" s="344">
        <f>ОСВ!F74/1000</f>
        <v>5</v>
      </c>
      <c r="BA35" s="344"/>
      <c r="BB35" s="344"/>
      <c r="BC35" s="344"/>
      <c r="BD35" s="344"/>
      <c r="BE35" s="344"/>
      <c r="BF35" s="344"/>
      <c r="BG35" s="40" t="s">
        <v>178</v>
      </c>
      <c r="BH35" s="50"/>
      <c r="BI35" s="344"/>
      <c r="BJ35" s="344"/>
      <c r="BK35" s="344"/>
      <c r="BL35" s="344"/>
      <c r="BM35" s="344"/>
      <c r="BN35" s="344"/>
      <c r="BO35" s="344"/>
      <c r="BP35" s="344"/>
      <c r="BQ35" s="344"/>
      <c r="BR35" s="51"/>
    </row>
    <row r="36" spans="3:70" ht="12.75">
      <c r="C36" s="345" t="s">
        <v>289</v>
      </c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282">
        <v>2305</v>
      </c>
      <c r="AV36" s="282"/>
      <c r="AW36" s="282"/>
      <c r="AX36" s="282"/>
      <c r="AY36" s="52"/>
      <c r="AZ36" s="344"/>
      <c r="BA36" s="344"/>
      <c r="BB36" s="344"/>
      <c r="BC36" s="344"/>
      <c r="BD36" s="344"/>
      <c r="BE36" s="344"/>
      <c r="BF36" s="344"/>
      <c r="BG36" s="52"/>
      <c r="BH36" s="50"/>
      <c r="BI36" s="344"/>
      <c r="BJ36" s="344"/>
      <c r="BK36" s="344"/>
      <c r="BL36" s="344"/>
      <c r="BM36" s="344"/>
      <c r="BN36" s="344"/>
      <c r="BO36" s="344"/>
      <c r="BP36" s="344"/>
      <c r="BQ36" s="344"/>
      <c r="BR36" s="51"/>
    </row>
    <row r="37" spans="3:70" ht="12.75">
      <c r="C37" s="288" t="s">
        <v>290</v>
      </c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90"/>
      <c r="AU37" s="291">
        <v>2350</v>
      </c>
      <c r="AV37" s="292"/>
      <c r="AW37" s="292"/>
      <c r="AX37" s="293"/>
      <c r="AY37" s="297">
        <f>AY32-AZ35</f>
        <v>205</v>
      </c>
      <c r="AZ37" s="298"/>
      <c r="BA37" s="298"/>
      <c r="BB37" s="298"/>
      <c r="BC37" s="298"/>
      <c r="BD37" s="298"/>
      <c r="BE37" s="298"/>
      <c r="BF37" s="298"/>
      <c r="BG37" s="299"/>
      <c r="BH37" s="303">
        <f>IF((BH32-BI34+BI35+BI36)&gt;0,BH32-BI34+BI35+BI36,0)</f>
        <v>0</v>
      </c>
      <c r="BI37" s="304"/>
      <c r="BJ37" s="304"/>
      <c r="BK37" s="304"/>
      <c r="BL37" s="304"/>
      <c r="BM37" s="304"/>
      <c r="BN37" s="304"/>
      <c r="BO37" s="304"/>
      <c r="BP37" s="304"/>
      <c r="BQ37" s="304"/>
      <c r="BR37" s="305"/>
    </row>
    <row r="38" spans="3:70" ht="12.75">
      <c r="C38" s="309" t="s">
        <v>277</v>
      </c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1"/>
      <c r="AU38" s="294"/>
      <c r="AV38" s="295"/>
      <c r="AW38" s="295"/>
      <c r="AX38" s="296"/>
      <c r="AY38" s="300"/>
      <c r="AZ38" s="301"/>
      <c r="BA38" s="301"/>
      <c r="BB38" s="301"/>
      <c r="BC38" s="301"/>
      <c r="BD38" s="301"/>
      <c r="BE38" s="301"/>
      <c r="BF38" s="301"/>
      <c r="BG38" s="302"/>
      <c r="BH38" s="306"/>
      <c r="BI38" s="307"/>
      <c r="BJ38" s="307"/>
      <c r="BK38" s="307"/>
      <c r="BL38" s="307"/>
      <c r="BM38" s="307"/>
      <c r="BN38" s="307"/>
      <c r="BO38" s="307"/>
      <c r="BP38" s="307"/>
      <c r="BQ38" s="307"/>
      <c r="BR38" s="308"/>
    </row>
    <row r="39" spans="3:70" ht="12.75">
      <c r="C39" s="286" t="s">
        <v>278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2">
        <v>2355</v>
      </c>
      <c r="AV39" s="282"/>
      <c r="AW39" s="282"/>
      <c r="AX39" s="282"/>
      <c r="AY39" s="46" t="s">
        <v>177</v>
      </c>
      <c r="AZ39" s="280">
        <f>IF((AY32-AZ34+AZ35+AZ36)&lt;0,ABS(AY32-AZ34+AZ35+AZ36),0)</f>
        <v>0</v>
      </c>
      <c r="BA39" s="280"/>
      <c r="BB39" s="280"/>
      <c r="BC39" s="280"/>
      <c r="BD39" s="280"/>
      <c r="BE39" s="280"/>
      <c r="BF39" s="280"/>
      <c r="BG39" s="47" t="s">
        <v>178</v>
      </c>
      <c r="BH39" s="48" t="s">
        <v>177</v>
      </c>
      <c r="BI39" s="287">
        <f>IF((BH32-BI34+BI35+BI36)&lt;0,ABS(BH32-BI34+BI35+BI36),0)</f>
        <v>0</v>
      </c>
      <c r="BJ39" s="287"/>
      <c r="BK39" s="287"/>
      <c r="BL39" s="287"/>
      <c r="BM39" s="287"/>
      <c r="BN39" s="287"/>
      <c r="BO39" s="287"/>
      <c r="BP39" s="287"/>
      <c r="BQ39" s="287"/>
      <c r="BR39" s="49" t="s">
        <v>178</v>
      </c>
    </row>
    <row r="41" spans="3:70" ht="12.75">
      <c r="C41" s="284" t="s">
        <v>213</v>
      </c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</row>
    <row r="43" spans="3:70" ht="12.75">
      <c r="C43" s="285" t="s">
        <v>209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 t="s">
        <v>134</v>
      </c>
      <c r="AV43" s="285"/>
      <c r="AW43" s="285"/>
      <c r="AX43" s="285"/>
      <c r="AY43" s="285" t="s">
        <v>210</v>
      </c>
      <c r="AZ43" s="285"/>
      <c r="BA43" s="285"/>
      <c r="BB43" s="285"/>
      <c r="BC43" s="285"/>
      <c r="BD43" s="285"/>
      <c r="BE43" s="285"/>
      <c r="BF43" s="285"/>
      <c r="BG43" s="285"/>
      <c r="BH43" s="285" t="s">
        <v>273</v>
      </c>
      <c r="BI43" s="285"/>
      <c r="BJ43" s="285"/>
      <c r="BK43" s="285"/>
      <c r="BL43" s="285"/>
      <c r="BM43" s="285"/>
      <c r="BN43" s="285"/>
      <c r="BO43" s="285"/>
      <c r="BP43" s="285"/>
      <c r="BQ43" s="285"/>
      <c r="BR43" s="285"/>
    </row>
    <row r="44" spans="3:70" ht="12.75">
      <c r="C44" s="285">
        <v>1</v>
      </c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>
        <v>2</v>
      </c>
      <c r="AV44" s="285"/>
      <c r="AW44" s="285"/>
      <c r="AX44" s="285"/>
      <c r="AY44" s="285">
        <v>3</v>
      </c>
      <c r="AZ44" s="285"/>
      <c r="BA44" s="285"/>
      <c r="BB44" s="285"/>
      <c r="BC44" s="285"/>
      <c r="BD44" s="285"/>
      <c r="BE44" s="285"/>
      <c r="BF44" s="285"/>
      <c r="BG44" s="285"/>
      <c r="BH44" s="285">
        <v>4</v>
      </c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</row>
    <row r="45" spans="3:70" ht="12.75">
      <c r="C45" s="281" t="s">
        <v>214</v>
      </c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2">
        <v>2400</v>
      </c>
      <c r="AV45" s="282"/>
      <c r="AW45" s="282"/>
      <c r="AX45" s="282"/>
      <c r="AY45" s="53"/>
      <c r="AZ45" s="283">
        <f>(ОСВ!E34-ОСВ!D34)/1000</f>
        <v>80</v>
      </c>
      <c r="BA45" s="283"/>
      <c r="BB45" s="283"/>
      <c r="BC45" s="283"/>
      <c r="BD45" s="283"/>
      <c r="BE45" s="283"/>
      <c r="BF45" s="283"/>
      <c r="BG45" s="39"/>
      <c r="BH45" s="38"/>
      <c r="BI45" s="283"/>
      <c r="BJ45" s="283"/>
      <c r="BK45" s="283"/>
      <c r="BL45" s="283"/>
      <c r="BM45" s="283"/>
      <c r="BN45" s="283"/>
      <c r="BO45" s="283"/>
      <c r="BP45" s="283"/>
      <c r="BQ45" s="283"/>
      <c r="BR45" s="54"/>
    </row>
    <row r="46" spans="3:70" ht="12.75">
      <c r="C46" s="281" t="s">
        <v>215</v>
      </c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2">
        <v>2405</v>
      </c>
      <c r="AV46" s="282"/>
      <c r="AW46" s="282"/>
      <c r="AX46" s="282"/>
      <c r="AY46" s="53"/>
      <c r="AZ46" s="283"/>
      <c r="BA46" s="283"/>
      <c r="BB46" s="283"/>
      <c r="BC46" s="283"/>
      <c r="BD46" s="283"/>
      <c r="BE46" s="283"/>
      <c r="BF46" s="283"/>
      <c r="BG46" s="39"/>
      <c r="BH46" s="38"/>
      <c r="BI46" s="283"/>
      <c r="BJ46" s="283"/>
      <c r="BK46" s="283"/>
      <c r="BL46" s="283"/>
      <c r="BM46" s="283"/>
      <c r="BN46" s="283"/>
      <c r="BO46" s="283"/>
      <c r="BP46" s="283"/>
      <c r="BQ46" s="283"/>
      <c r="BR46" s="54"/>
    </row>
    <row r="47" spans="3:70" ht="12.75">
      <c r="C47" s="281" t="s">
        <v>216</v>
      </c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2">
        <v>2410</v>
      </c>
      <c r="AV47" s="282"/>
      <c r="AW47" s="282"/>
      <c r="AX47" s="282"/>
      <c r="AY47" s="53"/>
      <c r="AZ47" s="283"/>
      <c r="BA47" s="283"/>
      <c r="BB47" s="283"/>
      <c r="BC47" s="283"/>
      <c r="BD47" s="283"/>
      <c r="BE47" s="283"/>
      <c r="BF47" s="283"/>
      <c r="BG47" s="39"/>
      <c r="BH47" s="38"/>
      <c r="BI47" s="283"/>
      <c r="BJ47" s="283"/>
      <c r="BK47" s="283"/>
      <c r="BL47" s="283"/>
      <c r="BM47" s="283"/>
      <c r="BN47" s="283"/>
      <c r="BO47" s="283"/>
      <c r="BP47" s="283"/>
      <c r="BQ47" s="283"/>
      <c r="BR47" s="54"/>
    </row>
    <row r="48" spans="3:70" ht="12.75">
      <c r="C48" s="281" t="s">
        <v>217</v>
      </c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2">
        <v>2415</v>
      </c>
      <c r="AV48" s="282"/>
      <c r="AW48" s="282"/>
      <c r="AX48" s="282"/>
      <c r="AY48" s="53"/>
      <c r="AZ48" s="283"/>
      <c r="BA48" s="283"/>
      <c r="BB48" s="283"/>
      <c r="BC48" s="283"/>
      <c r="BD48" s="283"/>
      <c r="BE48" s="283"/>
      <c r="BF48" s="283"/>
      <c r="BG48" s="39"/>
      <c r="BH48" s="38"/>
      <c r="BI48" s="283"/>
      <c r="BJ48" s="283"/>
      <c r="BK48" s="283"/>
      <c r="BL48" s="283"/>
      <c r="BM48" s="283"/>
      <c r="BN48" s="283"/>
      <c r="BO48" s="283"/>
      <c r="BP48" s="283"/>
      <c r="BQ48" s="283"/>
      <c r="BR48" s="54"/>
    </row>
    <row r="49" spans="3:70" ht="12.75">
      <c r="C49" s="281" t="s">
        <v>218</v>
      </c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2">
        <v>2445</v>
      </c>
      <c r="AV49" s="282"/>
      <c r="AW49" s="282"/>
      <c r="AX49" s="282"/>
      <c r="AY49" s="53"/>
      <c r="AZ49" s="283"/>
      <c r="BA49" s="283"/>
      <c r="BB49" s="283"/>
      <c r="BC49" s="283"/>
      <c r="BD49" s="283"/>
      <c r="BE49" s="283"/>
      <c r="BF49" s="283"/>
      <c r="BG49" s="39"/>
      <c r="BH49" s="38"/>
      <c r="BI49" s="283"/>
      <c r="BJ49" s="283"/>
      <c r="BK49" s="283"/>
      <c r="BL49" s="283"/>
      <c r="BM49" s="283"/>
      <c r="BN49" s="283"/>
      <c r="BO49" s="283"/>
      <c r="BP49" s="283"/>
      <c r="BQ49" s="283"/>
      <c r="BR49" s="54"/>
    </row>
    <row r="50" spans="3:70" ht="12.75">
      <c r="C50" s="278" t="s">
        <v>219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9">
        <v>2450</v>
      </c>
      <c r="AV50" s="279"/>
      <c r="AW50" s="279"/>
      <c r="AX50" s="279"/>
      <c r="AY50" s="55"/>
      <c r="AZ50" s="280">
        <f>SUM(AZ45:BF49)</f>
        <v>80</v>
      </c>
      <c r="BA50" s="280"/>
      <c r="BB50" s="280"/>
      <c r="BC50" s="280"/>
      <c r="BD50" s="280"/>
      <c r="BE50" s="280"/>
      <c r="BF50" s="280"/>
      <c r="BG50" s="47"/>
      <c r="BH50" s="46"/>
      <c r="BI50" s="280">
        <f>SUM(BH45:BR49)</f>
        <v>0</v>
      </c>
      <c r="BJ50" s="280"/>
      <c r="BK50" s="280"/>
      <c r="BL50" s="280"/>
      <c r="BM50" s="280"/>
      <c r="BN50" s="280"/>
      <c r="BO50" s="280"/>
      <c r="BP50" s="280"/>
      <c r="BQ50" s="280"/>
      <c r="BR50" s="56"/>
    </row>
    <row r="51" spans="3:70" ht="12.75">
      <c r="C51" s="281" t="s">
        <v>291</v>
      </c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2">
        <v>2455</v>
      </c>
      <c r="AV51" s="282"/>
      <c r="AW51" s="282"/>
      <c r="AX51" s="282"/>
      <c r="AY51" s="53"/>
      <c r="AZ51" s="283"/>
      <c r="BA51" s="283"/>
      <c r="BB51" s="283"/>
      <c r="BC51" s="283"/>
      <c r="BD51" s="283"/>
      <c r="BE51" s="283"/>
      <c r="BF51" s="283"/>
      <c r="BG51" s="39"/>
      <c r="BH51" s="38"/>
      <c r="BI51" s="283"/>
      <c r="BJ51" s="283"/>
      <c r="BK51" s="283"/>
      <c r="BL51" s="283"/>
      <c r="BM51" s="283"/>
      <c r="BN51" s="283"/>
      <c r="BO51" s="283"/>
      <c r="BP51" s="283"/>
      <c r="BQ51" s="283"/>
      <c r="BR51" s="54"/>
    </row>
    <row r="52" spans="3:70" ht="12.75">
      <c r="C52" s="278" t="s">
        <v>220</v>
      </c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9">
        <v>2460</v>
      </c>
      <c r="AV52" s="279"/>
      <c r="AW52" s="279"/>
      <c r="AX52" s="279"/>
      <c r="AY52" s="55"/>
      <c r="AZ52" s="280">
        <f>AZ50+AZ51</f>
        <v>80</v>
      </c>
      <c r="BA52" s="280"/>
      <c r="BB52" s="280"/>
      <c r="BC52" s="280"/>
      <c r="BD52" s="280"/>
      <c r="BE52" s="280"/>
      <c r="BF52" s="280"/>
      <c r="BG52" s="47"/>
      <c r="BH52" s="46"/>
      <c r="BI52" s="280">
        <f>BI50+BI51</f>
        <v>0</v>
      </c>
      <c r="BJ52" s="280"/>
      <c r="BK52" s="280"/>
      <c r="BL52" s="280"/>
      <c r="BM52" s="280"/>
      <c r="BN52" s="280"/>
      <c r="BO52" s="280"/>
      <c r="BP52" s="280"/>
      <c r="BQ52" s="280"/>
      <c r="BR52" s="56"/>
    </row>
    <row r="53" spans="3:70" ht="12.75">
      <c r="C53" s="278" t="s">
        <v>221</v>
      </c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9">
        <v>2465</v>
      </c>
      <c r="AV53" s="279"/>
      <c r="AW53" s="279"/>
      <c r="AX53" s="279"/>
      <c r="AY53" s="55"/>
      <c r="AZ53" s="280">
        <f>AZ52+AY37-AZ39</f>
        <v>285</v>
      </c>
      <c r="BA53" s="280"/>
      <c r="BB53" s="280"/>
      <c r="BC53" s="280"/>
      <c r="BD53" s="280"/>
      <c r="BE53" s="280"/>
      <c r="BF53" s="280"/>
      <c r="BG53" s="47"/>
      <c r="BH53" s="46">
        <f>BH52+BH37-BI39</f>
        <v>0</v>
      </c>
      <c r="BI53" s="280">
        <f>BI52+BH37-BI39</f>
        <v>0</v>
      </c>
      <c r="BJ53" s="280"/>
      <c r="BK53" s="280"/>
      <c r="BL53" s="280"/>
      <c r="BM53" s="280"/>
      <c r="BN53" s="280"/>
      <c r="BO53" s="280"/>
      <c r="BP53" s="280"/>
      <c r="BQ53" s="280"/>
      <c r="BR53" s="56"/>
    </row>
    <row r="55" spans="3:70" ht="12.75">
      <c r="C55" s="284" t="s">
        <v>222</v>
      </c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</row>
    <row r="57" spans="3:70" ht="12.75">
      <c r="C57" s="285" t="s">
        <v>223</v>
      </c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 t="s">
        <v>134</v>
      </c>
      <c r="AV57" s="285"/>
      <c r="AW57" s="285"/>
      <c r="AX57" s="285"/>
      <c r="AY57" s="282" t="s">
        <v>210</v>
      </c>
      <c r="AZ57" s="282"/>
      <c r="BA57" s="282"/>
      <c r="BB57" s="282"/>
      <c r="BC57" s="282"/>
      <c r="BD57" s="282"/>
      <c r="BE57" s="282"/>
      <c r="BF57" s="282"/>
      <c r="BG57" s="282"/>
      <c r="BH57" s="282" t="s">
        <v>273</v>
      </c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</row>
    <row r="58" spans="3:70" ht="12.75">
      <c r="C58" s="285">
        <v>1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>
        <v>2</v>
      </c>
      <c r="AV58" s="285"/>
      <c r="AW58" s="285"/>
      <c r="AX58" s="285"/>
      <c r="AY58" s="282">
        <v>3</v>
      </c>
      <c r="AZ58" s="282"/>
      <c r="BA58" s="282"/>
      <c r="BB58" s="282"/>
      <c r="BC58" s="282"/>
      <c r="BD58" s="282"/>
      <c r="BE58" s="282"/>
      <c r="BF58" s="282"/>
      <c r="BG58" s="282"/>
      <c r="BH58" s="282">
        <v>4</v>
      </c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</row>
    <row r="59" spans="3:70" ht="12.75">
      <c r="C59" s="281" t="s">
        <v>224</v>
      </c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5">
        <v>2500</v>
      </c>
      <c r="AV59" s="285"/>
      <c r="AW59" s="285"/>
      <c r="AX59" s="285"/>
      <c r="AY59" s="315">
        <v>75</v>
      </c>
      <c r="AZ59" s="315"/>
      <c r="BA59" s="315"/>
      <c r="BB59" s="315"/>
      <c r="BC59" s="315"/>
      <c r="BD59" s="315"/>
      <c r="BE59" s="315"/>
      <c r="BF59" s="315"/>
      <c r="BG59" s="315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</row>
    <row r="60" spans="3:70" ht="12.75">
      <c r="C60" s="281" t="s">
        <v>225</v>
      </c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5">
        <v>2505</v>
      </c>
      <c r="AV60" s="285"/>
      <c r="AW60" s="285"/>
      <c r="AX60" s="285"/>
      <c r="AY60" s="315">
        <v>120</v>
      </c>
      <c r="AZ60" s="315"/>
      <c r="BA60" s="315"/>
      <c r="BB60" s="315"/>
      <c r="BC60" s="315"/>
      <c r="BD60" s="315"/>
      <c r="BE60" s="315"/>
      <c r="BF60" s="315"/>
      <c r="BG60" s="315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</row>
    <row r="61" spans="3:70" ht="12.75">
      <c r="C61" s="281" t="s">
        <v>226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5">
        <v>2510</v>
      </c>
      <c r="AV61" s="285"/>
      <c r="AW61" s="285"/>
      <c r="AX61" s="285"/>
      <c r="AY61" s="315">
        <v>46</v>
      </c>
      <c r="AZ61" s="315"/>
      <c r="BA61" s="315"/>
      <c r="BB61" s="315"/>
      <c r="BC61" s="315"/>
      <c r="BD61" s="315"/>
      <c r="BE61" s="315"/>
      <c r="BF61" s="315"/>
      <c r="BG61" s="315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</row>
    <row r="62" spans="3:70" ht="12.75">
      <c r="C62" s="281" t="s">
        <v>227</v>
      </c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5">
        <v>2515</v>
      </c>
      <c r="AV62" s="285"/>
      <c r="AW62" s="285"/>
      <c r="AX62" s="285"/>
      <c r="AY62" s="315">
        <v>99</v>
      </c>
      <c r="AZ62" s="315"/>
      <c r="BA62" s="315"/>
      <c r="BB62" s="315"/>
      <c r="BC62" s="315"/>
      <c r="BD62" s="315"/>
      <c r="BE62" s="315"/>
      <c r="BF62" s="315"/>
      <c r="BG62" s="315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</row>
    <row r="63" spans="3:70" ht="12.75">
      <c r="C63" s="281" t="s">
        <v>228</v>
      </c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5">
        <v>2520</v>
      </c>
      <c r="AV63" s="285"/>
      <c r="AW63" s="285"/>
      <c r="AX63" s="285"/>
      <c r="AY63" s="315">
        <v>17</v>
      </c>
      <c r="AZ63" s="315"/>
      <c r="BA63" s="315"/>
      <c r="BB63" s="315"/>
      <c r="BC63" s="315"/>
      <c r="BD63" s="315"/>
      <c r="BE63" s="315"/>
      <c r="BF63" s="315"/>
      <c r="BG63" s="315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</row>
    <row r="64" spans="3:70" ht="12.75">
      <c r="C64" s="278" t="s">
        <v>229</v>
      </c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347">
        <v>2550</v>
      </c>
      <c r="AV64" s="347"/>
      <c r="AW64" s="347"/>
      <c r="AX64" s="347"/>
      <c r="AY64" s="348">
        <f>SUM(AY59:BG63)</f>
        <v>357</v>
      </c>
      <c r="AZ64" s="349"/>
      <c r="BA64" s="349"/>
      <c r="BB64" s="349"/>
      <c r="BC64" s="349"/>
      <c r="BD64" s="349"/>
      <c r="BE64" s="349"/>
      <c r="BF64" s="349"/>
      <c r="BG64" s="350"/>
      <c r="BH64" s="321">
        <f>SUM(BH59:BR63)</f>
        <v>0</v>
      </c>
      <c r="BI64" s="321"/>
      <c r="BJ64" s="321"/>
      <c r="BK64" s="321"/>
      <c r="BL64" s="321"/>
      <c r="BM64" s="321"/>
      <c r="BN64" s="321"/>
      <c r="BO64" s="321"/>
      <c r="BP64" s="321"/>
      <c r="BQ64" s="321"/>
      <c r="BR64" s="321"/>
    </row>
    <row r="66" spans="3:70" ht="12.75">
      <c r="C66" s="284" t="s">
        <v>292</v>
      </c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</row>
    <row r="68" spans="3:70" ht="12.75">
      <c r="C68" s="282" t="s">
        <v>223</v>
      </c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 t="s">
        <v>134</v>
      </c>
      <c r="AV68" s="282"/>
      <c r="AW68" s="282"/>
      <c r="AX68" s="282"/>
      <c r="AY68" s="282" t="s">
        <v>210</v>
      </c>
      <c r="AZ68" s="282"/>
      <c r="BA68" s="282"/>
      <c r="BB68" s="282"/>
      <c r="BC68" s="282"/>
      <c r="BD68" s="282"/>
      <c r="BE68" s="282"/>
      <c r="BF68" s="282"/>
      <c r="BG68" s="282"/>
      <c r="BH68" s="282" t="s">
        <v>273</v>
      </c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</row>
    <row r="69" spans="3:70" ht="12.75">
      <c r="C69" s="282">
        <v>1</v>
      </c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>
        <v>2</v>
      </c>
      <c r="AV69" s="282"/>
      <c r="AW69" s="282"/>
      <c r="AX69" s="282"/>
      <c r="AY69" s="282">
        <v>3</v>
      </c>
      <c r="AZ69" s="282"/>
      <c r="BA69" s="282"/>
      <c r="BB69" s="282"/>
      <c r="BC69" s="282"/>
      <c r="BD69" s="282"/>
      <c r="BE69" s="282"/>
      <c r="BF69" s="282"/>
      <c r="BG69" s="282"/>
      <c r="BH69" s="282">
        <v>4</v>
      </c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</row>
    <row r="70" spans="3:70" ht="12.75">
      <c r="C70" s="351" t="s">
        <v>293</v>
      </c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282">
        <v>2600</v>
      </c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</row>
    <row r="71" spans="3:70" ht="12.75">
      <c r="C71" s="351" t="s">
        <v>294</v>
      </c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282">
        <v>2605</v>
      </c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</row>
    <row r="72" spans="3:70" ht="12.75">
      <c r="C72" s="351" t="s">
        <v>295</v>
      </c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282">
        <v>2610</v>
      </c>
      <c r="AV72" s="282"/>
      <c r="AW72" s="282"/>
      <c r="AX72" s="282"/>
      <c r="AY72" s="38"/>
      <c r="AZ72" s="283"/>
      <c r="BA72" s="283"/>
      <c r="BB72" s="283"/>
      <c r="BC72" s="283"/>
      <c r="BD72" s="283"/>
      <c r="BE72" s="283"/>
      <c r="BF72" s="283"/>
      <c r="BG72" s="39"/>
      <c r="BH72" s="38"/>
      <c r="BI72" s="283"/>
      <c r="BJ72" s="283"/>
      <c r="BK72" s="283"/>
      <c r="BL72" s="283"/>
      <c r="BM72" s="283"/>
      <c r="BN72" s="283"/>
      <c r="BO72" s="283"/>
      <c r="BP72" s="283"/>
      <c r="BQ72" s="283"/>
      <c r="BR72" s="39"/>
    </row>
    <row r="73" spans="3:70" ht="12.75">
      <c r="C73" s="351" t="s">
        <v>296</v>
      </c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282">
        <v>2615</v>
      </c>
      <c r="AV73" s="282"/>
      <c r="AW73" s="282"/>
      <c r="AX73" s="282"/>
      <c r="AY73" s="38"/>
      <c r="AZ73" s="283"/>
      <c r="BA73" s="283"/>
      <c r="BB73" s="283"/>
      <c r="BC73" s="283"/>
      <c r="BD73" s="283"/>
      <c r="BE73" s="283"/>
      <c r="BF73" s="283"/>
      <c r="BG73" s="39"/>
      <c r="BH73" s="38"/>
      <c r="BI73" s="283"/>
      <c r="BJ73" s="283"/>
      <c r="BK73" s="283"/>
      <c r="BL73" s="283"/>
      <c r="BM73" s="283"/>
      <c r="BN73" s="283"/>
      <c r="BO73" s="283"/>
      <c r="BP73" s="283"/>
      <c r="BQ73" s="283"/>
      <c r="BR73" s="39"/>
    </row>
    <row r="74" spans="3:70" ht="12.75">
      <c r="C74" s="351" t="s">
        <v>297</v>
      </c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  <c r="AQ74" s="351"/>
      <c r="AR74" s="351"/>
      <c r="AS74" s="351"/>
      <c r="AT74" s="351"/>
      <c r="AU74" s="282">
        <v>2650</v>
      </c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</row>
    <row r="76" spans="3:18" ht="12.75">
      <c r="C76" s="352" t="s">
        <v>201</v>
      </c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</row>
    <row r="77" ht="12.75">
      <c r="C77" s="57"/>
    </row>
    <row r="78" spans="3:18" ht="12.75">
      <c r="C78" s="353" t="s">
        <v>202</v>
      </c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</row>
  </sheetData>
  <mergeCells count="229">
    <mergeCell ref="C76:R76"/>
    <mergeCell ref="C78:R78"/>
    <mergeCell ref="C74:AT74"/>
    <mergeCell ref="AU74:AX74"/>
    <mergeCell ref="AY74:BG74"/>
    <mergeCell ref="BH74:BR74"/>
    <mergeCell ref="C73:AT73"/>
    <mergeCell ref="AU73:AX73"/>
    <mergeCell ref="AZ73:BF73"/>
    <mergeCell ref="BI73:BQ73"/>
    <mergeCell ref="C72:AT72"/>
    <mergeCell ref="AU72:AX72"/>
    <mergeCell ref="AZ72:BF72"/>
    <mergeCell ref="BI72:BQ72"/>
    <mergeCell ref="C71:AT71"/>
    <mergeCell ref="AU71:AX71"/>
    <mergeCell ref="AY71:BG71"/>
    <mergeCell ref="BH71:BR71"/>
    <mergeCell ref="C70:AT70"/>
    <mergeCell ref="AU70:AX70"/>
    <mergeCell ref="AY70:BG70"/>
    <mergeCell ref="BH70:BR70"/>
    <mergeCell ref="C69:AT69"/>
    <mergeCell ref="AU69:AX69"/>
    <mergeCell ref="AY69:BG69"/>
    <mergeCell ref="BH69:BR69"/>
    <mergeCell ref="C66:BR66"/>
    <mergeCell ref="C68:AT68"/>
    <mergeCell ref="AU68:AX68"/>
    <mergeCell ref="AY68:BG68"/>
    <mergeCell ref="BH68:BR68"/>
    <mergeCell ref="C64:AT64"/>
    <mergeCell ref="AU64:AX64"/>
    <mergeCell ref="AY64:BG64"/>
    <mergeCell ref="BH64:BR64"/>
    <mergeCell ref="C63:AT63"/>
    <mergeCell ref="AU63:AX63"/>
    <mergeCell ref="AY63:BG63"/>
    <mergeCell ref="BH63:BR63"/>
    <mergeCell ref="C62:AT62"/>
    <mergeCell ref="AU62:AX62"/>
    <mergeCell ref="AY62:BG62"/>
    <mergeCell ref="BH62:BR62"/>
    <mergeCell ref="C61:AT61"/>
    <mergeCell ref="AU61:AX61"/>
    <mergeCell ref="AY61:BG61"/>
    <mergeCell ref="BH61:BR61"/>
    <mergeCell ref="C60:AT60"/>
    <mergeCell ref="AU60:AX60"/>
    <mergeCell ref="AY60:BG60"/>
    <mergeCell ref="BH60:BR60"/>
    <mergeCell ref="C59:AT59"/>
    <mergeCell ref="AU59:AX59"/>
    <mergeCell ref="AY59:BG59"/>
    <mergeCell ref="BH59:BR59"/>
    <mergeCell ref="C58:AT58"/>
    <mergeCell ref="AU58:AX58"/>
    <mergeCell ref="AY58:BG58"/>
    <mergeCell ref="BH58:BR58"/>
    <mergeCell ref="BI53:BQ53"/>
    <mergeCell ref="C55:BR55"/>
    <mergeCell ref="C57:AT57"/>
    <mergeCell ref="AU57:AX57"/>
    <mergeCell ref="AY57:BG57"/>
    <mergeCell ref="BH57:BR57"/>
    <mergeCell ref="C53:AT53"/>
    <mergeCell ref="AU53:AX53"/>
    <mergeCell ref="AZ53:BF53"/>
    <mergeCell ref="BI51:BQ51"/>
    <mergeCell ref="C52:AT52"/>
    <mergeCell ref="AU52:AX52"/>
    <mergeCell ref="AZ52:BF52"/>
    <mergeCell ref="BI52:BQ52"/>
    <mergeCell ref="C51:AT51"/>
    <mergeCell ref="AU51:AX51"/>
    <mergeCell ref="AZ51:BF51"/>
    <mergeCell ref="AU45:AX45"/>
    <mergeCell ref="AZ45:BF45"/>
    <mergeCell ref="BI45:BQ45"/>
    <mergeCell ref="C46:AT46"/>
    <mergeCell ref="AU46:AX46"/>
    <mergeCell ref="AZ46:BF46"/>
    <mergeCell ref="BI46:BQ46"/>
    <mergeCell ref="C45:AT45"/>
    <mergeCell ref="C36:AT36"/>
    <mergeCell ref="AU36:AX36"/>
    <mergeCell ref="AZ36:BF36"/>
    <mergeCell ref="BI36:BQ36"/>
    <mergeCell ref="AP10:AW10"/>
    <mergeCell ref="AX10:BI10"/>
    <mergeCell ref="BJ10:BR10"/>
    <mergeCell ref="AU35:AX35"/>
    <mergeCell ref="AZ35:BF35"/>
    <mergeCell ref="BI35:BQ35"/>
    <mergeCell ref="C35:AT35"/>
    <mergeCell ref="C12:AT12"/>
    <mergeCell ref="AU12:AX12"/>
    <mergeCell ref="AY12:BG12"/>
    <mergeCell ref="C4:K4"/>
    <mergeCell ref="L4:AX4"/>
    <mergeCell ref="BA4:BI4"/>
    <mergeCell ref="BJ4:BR4"/>
    <mergeCell ref="BJ2:BR2"/>
    <mergeCell ref="C3:BI3"/>
    <mergeCell ref="BJ3:BL3"/>
    <mergeCell ref="BM3:BO3"/>
    <mergeCell ref="BP3:BR3"/>
    <mergeCell ref="L5:AX5"/>
    <mergeCell ref="C7:BR7"/>
    <mergeCell ref="B8:X8"/>
    <mergeCell ref="Y8:AA8"/>
    <mergeCell ref="AB8:AO8"/>
    <mergeCell ref="AP8:AR8"/>
    <mergeCell ref="AS8:AU8"/>
    <mergeCell ref="AV8:AX8"/>
    <mergeCell ref="BH12:BR12"/>
    <mergeCell ref="C13:AT13"/>
    <mergeCell ref="AU13:AX13"/>
    <mergeCell ref="AY13:BG13"/>
    <mergeCell ref="BH13:BR13"/>
    <mergeCell ref="C14:AT14"/>
    <mergeCell ref="AU14:AX14"/>
    <mergeCell ref="AY14:BG14"/>
    <mergeCell ref="BH14:BR14"/>
    <mergeCell ref="C15:AT15"/>
    <mergeCell ref="AU15:AX15"/>
    <mergeCell ref="AZ15:BF15"/>
    <mergeCell ref="BI15:BQ15"/>
    <mergeCell ref="C16:AT16"/>
    <mergeCell ref="AU16:AX17"/>
    <mergeCell ref="AY16:BG17"/>
    <mergeCell ref="BH16:BR17"/>
    <mergeCell ref="C17:AT17"/>
    <mergeCell ref="C18:AT18"/>
    <mergeCell ref="AU18:AX18"/>
    <mergeCell ref="AZ18:BF18"/>
    <mergeCell ref="BI18:BQ18"/>
    <mergeCell ref="C19:AT19"/>
    <mergeCell ref="AU19:AX19"/>
    <mergeCell ref="AY19:BG19"/>
    <mergeCell ref="BH19:BR19"/>
    <mergeCell ref="C20:AT20"/>
    <mergeCell ref="AU20:AX20"/>
    <mergeCell ref="AZ20:BF20"/>
    <mergeCell ref="BI20:BQ20"/>
    <mergeCell ref="C21:AT21"/>
    <mergeCell ref="AU21:AX21"/>
    <mergeCell ref="AZ21:BF21"/>
    <mergeCell ref="BI21:BQ21"/>
    <mergeCell ref="C22:AT22"/>
    <mergeCell ref="AU22:AX22"/>
    <mergeCell ref="AZ22:BF22"/>
    <mergeCell ref="BI22:BQ22"/>
    <mergeCell ref="C23:AT23"/>
    <mergeCell ref="AU23:AX24"/>
    <mergeCell ref="AY23:BG24"/>
    <mergeCell ref="BH23:BR24"/>
    <mergeCell ref="C24:AT24"/>
    <mergeCell ref="C25:AT25"/>
    <mergeCell ref="AU25:AX25"/>
    <mergeCell ref="AZ25:BF25"/>
    <mergeCell ref="BI25:BQ25"/>
    <mergeCell ref="C26:AT26"/>
    <mergeCell ref="AU26:AX26"/>
    <mergeCell ref="AY26:BG26"/>
    <mergeCell ref="BH26:BR26"/>
    <mergeCell ref="C27:AT27"/>
    <mergeCell ref="AU27:AX27"/>
    <mergeCell ref="AY27:BG27"/>
    <mergeCell ref="BH27:BR27"/>
    <mergeCell ref="C28:AT28"/>
    <mergeCell ref="AU28:AX28"/>
    <mergeCell ref="AY28:BG28"/>
    <mergeCell ref="BH28:BR28"/>
    <mergeCell ref="C29:AT29"/>
    <mergeCell ref="AU29:AX29"/>
    <mergeCell ref="AZ29:BF29"/>
    <mergeCell ref="BI29:BQ29"/>
    <mergeCell ref="C30:AT30"/>
    <mergeCell ref="AU30:AX30"/>
    <mergeCell ref="AZ30:BF30"/>
    <mergeCell ref="BI30:BQ30"/>
    <mergeCell ref="C31:AT31"/>
    <mergeCell ref="AU31:AX31"/>
    <mergeCell ref="AZ31:BF31"/>
    <mergeCell ref="BI31:BQ31"/>
    <mergeCell ref="C32:AT32"/>
    <mergeCell ref="AU32:AX33"/>
    <mergeCell ref="AY32:BG33"/>
    <mergeCell ref="BH32:BR33"/>
    <mergeCell ref="C33:AT33"/>
    <mergeCell ref="C34:AT34"/>
    <mergeCell ref="AU34:AX34"/>
    <mergeCell ref="AZ34:BF34"/>
    <mergeCell ref="BI34:BQ34"/>
    <mergeCell ref="C37:AT37"/>
    <mergeCell ref="AU37:AX38"/>
    <mergeCell ref="AY37:BG38"/>
    <mergeCell ref="BH37:BR38"/>
    <mergeCell ref="C38:AT38"/>
    <mergeCell ref="C39:AT39"/>
    <mergeCell ref="AU39:AX39"/>
    <mergeCell ref="AZ39:BF39"/>
    <mergeCell ref="BI39:BQ39"/>
    <mergeCell ref="C41:BR41"/>
    <mergeCell ref="C44:AT44"/>
    <mergeCell ref="AU44:AX44"/>
    <mergeCell ref="AY44:BG44"/>
    <mergeCell ref="BH44:BR44"/>
    <mergeCell ref="C43:AT43"/>
    <mergeCell ref="AU43:AX43"/>
    <mergeCell ref="AY43:BG43"/>
    <mergeCell ref="BH43:BR43"/>
    <mergeCell ref="C47:AT47"/>
    <mergeCell ref="AU47:AX47"/>
    <mergeCell ref="AZ47:BF47"/>
    <mergeCell ref="BI47:BQ47"/>
    <mergeCell ref="C48:AT48"/>
    <mergeCell ref="AU48:AX48"/>
    <mergeCell ref="AZ48:BF48"/>
    <mergeCell ref="BI48:BQ48"/>
    <mergeCell ref="C49:AT49"/>
    <mergeCell ref="AU49:AX49"/>
    <mergeCell ref="AZ49:BF49"/>
    <mergeCell ref="BI49:BQ49"/>
    <mergeCell ref="C50:AT50"/>
    <mergeCell ref="AU50:AX50"/>
    <mergeCell ref="AZ50:BF50"/>
    <mergeCell ref="BI50:BQ50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X98"/>
  <sheetViews>
    <sheetView tabSelected="1" zoomScale="130" zoomScaleNormal="130" workbookViewId="0" topLeftCell="A17">
      <selection activeCell="B35" sqref="B35:AK35"/>
    </sheetView>
  </sheetViews>
  <sheetFormatPr defaultColWidth="9.00390625" defaultRowHeight="12.75"/>
  <cols>
    <col min="1" max="70" width="1.25" style="31" customWidth="1"/>
    <col min="71" max="71" width="9.125" style="29" customWidth="1"/>
    <col min="72" max="72" width="9.25390625" style="29" bestFit="1" customWidth="1"/>
    <col min="73" max="73" width="12.625" style="29" bestFit="1" customWidth="1"/>
    <col min="74" max="74" width="11.00390625" style="29" customWidth="1"/>
    <col min="75" max="75" width="9.25390625" style="29" bestFit="1" customWidth="1"/>
    <col min="76" max="102" width="9.125" style="29" customWidth="1"/>
    <col min="103" max="16384" width="9.125" style="30" customWidth="1"/>
  </cols>
  <sheetData>
    <row r="1" spans="2:70" ht="15.75">
      <c r="B1" s="324" t="s">
        <v>230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5"/>
    </row>
    <row r="2" spans="2:70" ht="15.75">
      <c r="B2" s="407" t="s">
        <v>207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>
        <v>20</v>
      </c>
      <c r="AD2" s="407"/>
      <c r="AE2" s="407"/>
      <c r="AF2" s="327"/>
      <c r="AG2" s="327"/>
      <c r="AH2" s="327"/>
      <c r="AI2" s="408" t="s">
        <v>208</v>
      </c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35"/>
    </row>
    <row r="3" spans="2:70" ht="45.75" customHeight="1">
      <c r="B3" s="285" t="s">
        <v>209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2" t="s">
        <v>134</v>
      </c>
      <c r="AM3" s="282"/>
      <c r="AN3" s="282"/>
      <c r="AO3" s="282"/>
      <c r="AP3" s="282"/>
      <c r="AQ3" s="282" t="s">
        <v>210</v>
      </c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 t="s">
        <v>273</v>
      </c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</row>
    <row r="4" spans="2:75" ht="15">
      <c r="B4" s="406">
        <v>1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282">
        <v>2</v>
      </c>
      <c r="AM4" s="282"/>
      <c r="AN4" s="282"/>
      <c r="AO4" s="282"/>
      <c r="AP4" s="282"/>
      <c r="AQ4" s="343">
        <v>3</v>
      </c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357"/>
      <c r="BE4" s="282">
        <v>4</v>
      </c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T4" s="409" t="s">
        <v>355</v>
      </c>
      <c r="BU4" s="410"/>
      <c r="BV4" s="411" t="s">
        <v>354</v>
      </c>
      <c r="BW4" s="409"/>
    </row>
    <row r="5" spans="2:102" ht="15">
      <c r="B5" s="399" t="s">
        <v>299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1"/>
      <c r="AL5" s="291">
        <v>3000</v>
      </c>
      <c r="AM5" s="292"/>
      <c r="AN5" s="292"/>
      <c r="AO5" s="292"/>
      <c r="AP5" s="293"/>
      <c r="AQ5" s="402">
        <f>(BU6+BU7+BU8)</f>
        <v>560000</v>
      </c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3"/>
      <c r="BE5" s="291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3"/>
      <c r="BT5" s="88"/>
      <c r="BU5" s="104">
        <v>22870</v>
      </c>
      <c r="BV5" s="87"/>
      <c r="BW5" s="86"/>
      <c r="CW5" s="30"/>
      <c r="CX5" s="30"/>
    </row>
    <row r="6" spans="2:102" ht="15">
      <c r="B6" s="385" t="s">
        <v>312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7"/>
      <c r="AL6" s="382"/>
      <c r="AM6" s="383"/>
      <c r="AN6" s="383"/>
      <c r="AO6" s="383"/>
      <c r="AP6" s="384"/>
      <c r="AQ6" s="382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4"/>
      <c r="BE6" s="382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4"/>
      <c r="BT6" s="89">
        <v>361</v>
      </c>
      <c r="BU6" s="90">
        <f>95000+450000</f>
        <v>545000</v>
      </c>
      <c r="BV6" s="91">
        <f>30000+65000</f>
        <v>95000</v>
      </c>
      <c r="BW6" s="92">
        <v>631</v>
      </c>
      <c r="CW6" s="30"/>
      <c r="CX6" s="30"/>
    </row>
    <row r="7" spans="2:102" ht="15">
      <c r="B7" s="403" t="s">
        <v>232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5"/>
      <c r="AL7" s="294"/>
      <c r="AM7" s="295"/>
      <c r="AN7" s="295"/>
      <c r="AO7" s="295"/>
      <c r="AP7" s="296"/>
      <c r="AQ7" s="294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6"/>
      <c r="BE7" s="294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6"/>
      <c r="BT7" s="93">
        <v>681</v>
      </c>
      <c r="BU7" s="94">
        <v>15000</v>
      </c>
      <c r="BV7" s="95">
        <f>18000+600</f>
        <v>18600</v>
      </c>
      <c r="BW7" s="96">
        <v>371</v>
      </c>
      <c r="CW7" s="30"/>
      <c r="CX7" s="30"/>
    </row>
    <row r="8" spans="2:102" ht="15">
      <c r="B8" s="398" t="s">
        <v>321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282">
        <v>3005</v>
      </c>
      <c r="AM8" s="282"/>
      <c r="AN8" s="282"/>
      <c r="AO8" s="282"/>
      <c r="AP8" s="282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T8" s="93"/>
      <c r="BU8" s="94"/>
      <c r="BV8" s="95">
        <v>15500</v>
      </c>
      <c r="BW8" s="96">
        <v>6312</v>
      </c>
      <c r="CW8" s="30"/>
      <c r="CX8" s="30"/>
    </row>
    <row r="9" spans="2:102" ht="15">
      <c r="B9" s="281" t="s">
        <v>233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2">
        <v>3006</v>
      </c>
      <c r="AM9" s="282"/>
      <c r="AN9" s="282"/>
      <c r="AO9" s="282"/>
      <c r="AP9" s="282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T9" s="93">
        <v>501</v>
      </c>
      <c r="BU9" s="94">
        <v>180000</v>
      </c>
      <c r="BV9" s="95"/>
      <c r="BW9" s="96"/>
      <c r="CW9" s="30"/>
      <c r="CX9" s="30"/>
    </row>
    <row r="10" spans="2:102" ht="15">
      <c r="B10" s="281" t="s">
        <v>322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2">
        <v>3010</v>
      </c>
      <c r="AM10" s="282"/>
      <c r="AN10" s="282"/>
      <c r="AO10" s="282"/>
      <c r="AP10" s="282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T10" s="93">
        <v>732</v>
      </c>
      <c r="BU10" s="94">
        <v>500</v>
      </c>
      <c r="BV10" s="95">
        <f>15000</f>
        <v>15000</v>
      </c>
      <c r="BW10" s="96">
        <v>301</v>
      </c>
      <c r="CW10" s="30"/>
      <c r="CX10" s="30"/>
    </row>
    <row r="11" spans="2:102" ht="15">
      <c r="B11" s="369" t="s">
        <v>309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282">
        <v>3095</v>
      </c>
      <c r="AM11" s="282"/>
      <c r="AN11" s="282"/>
      <c r="AO11" s="282"/>
      <c r="AP11" s="282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T11" s="93">
        <v>46</v>
      </c>
      <c r="BU11" s="94">
        <v>400000</v>
      </c>
      <c r="BV11" s="95">
        <v>775</v>
      </c>
      <c r="BW11" s="96">
        <v>685</v>
      </c>
      <c r="CW11" s="30"/>
      <c r="CX11" s="30"/>
    </row>
    <row r="12" spans="2:102" ht="15">
      <c r="B12" s="363" t="s">
        <v>234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5"/>
      <c r="AL12" s="291">
        <v>3100</v>
      </c>
      <c r="AM12" s="292"/>
      <c r="AN12" s="292"/>
      <c r="AO12" s="292"/>
      <c r="AP12" s="293"/>
      <c r="AQ12" s="291" t="s">
        <v>177</v>
      </c>
      <c r="AR12" s="393">
        <f>(BV6+BV7+BV9)</f>
        <v>113600</v>
      </c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3" t="s">
        <v>178</v>
      </c>
      <c r="BE12" s="291" t="s">
        <v>177</v>
      </c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3" t="s">
        <v>178</v>
      </c>
      <c r="BT12" s="97"/>
      <c r="BU12" s="98"/>
      <c r="BV12" s="95">
        <v>12500</v>
      </c>
      <c r="BW12" s="96">
        <v>611</v>
      </c>
      <c r="CW12" s="30"/>
      <c r="CX12" s="30"/>
    </row>
    <row r="13" spans="2:102" ht="15">
      <c r="B13" s="394" t="s">
        <v>235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6"/>
      <c r="AL13" s="294"/>
      <c r="AM13" s="295"/>
      <c r="AN13" s="295"/>
      <c r="AO13" s="295"/>
      <c r="AP13" s="296"/>
      <c r="AQ13" s="294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6"/>
      <c r="BE13" s="294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6"/>
      <c r="BT13" s="97"/>
      <c r="BU13" s="98"/>
      <c r="BV13" s="95">
        <v>2100</v>
      </c>
      <c r="BW13" s="96">
        <v>684</v>
      </c>
      <c r="CW13" s="30"/>
      <c r="CX13" s="30"/>
    </row>
    <row r="14" spans="2:102" ht="15">
      <c r="B14" s="392" t="s">
        <v>236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282">
        <v>3105</v>
      </c>
      <c r="AM14" s="282"/>
      <c r="AN14" s="282"/>
      <c r="AO14" s="282"/>
      <c r="AP14" s="282"/>
      <c r="AQ14" s="67" t="s">
        <v>177</v>
      </c>
      <c r="AR14" s="391">
        <f>BV26</f>
        <v>10000</v>
      </c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68" t="s">
        <v>178</v>
      </c>
      <c r="BE14" s="67" t="s">
        <v>177</v>
      </c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68" t="s">
        <v>178</v>
      </c>
      <c r="BT14" s="97"/>
      <c r="BU14" s="98"/>
      <c r="BV14" s="95">
        <v>12000</v>
      </c>
      <c r="BW14" s="96">
        <v>671</v>
      </c>
      <c r="CW14" s="30"/>
      <c r="CX14" s="30"/>
    </row>
    <row r="15" spans="2:102" ht="15">
      <c r="B15" s="370" t="s">
        <v>323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282">
        <v>3110</v>
      </c>
      <c r="AM15" s="282"/>
      <c r="AN15" s="282"/>
      <c r="AO15" s="282"/>
      <c r="AP15" s="282"/>
      <c r="AQ15" s="67" t="s">
        <v>177</v>
      </c>
      <c r="AR15" s="362">
        <f>BV18</f>
        <v>3750</v>
      </c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68" t="s">
        <v>178</v>
      </c>
      <c r="BE15" s="67" t="s">
        <v>177</v>
      </c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68" t="s">
        <v>178</v>
      </c>
      <c r="BT15" s="97"/>
      <c r="BU15" s="98"/>
      <c r="BV15" s="95">
        <f>14500+1500+3000</f>
        <v>19000</v>
      </c>
      <c r="BW15" s="96">
        <v>6412</v>
      </c>
      <c r="CW15" s="30"/>
      <c r="CX15" s="30"/>
    </row>
    <row r="16" spans="2:102" ht="15">
      <c r="B16" s="370" t="s">
        <v>324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282">
        <v>3115</v>
      </c>
      <c r="AM16" s="282"/>
      <c r="AN16" s="282"/>
      <c r="AO16" s="282"/>
      <c r="AP16" s="282"/>
      <c r="AQ16" s="67" t="s">
        <v>177</v>
      </c>
      <c r="AR16" s="391">
        <f>(BV15+BV16+BV17)</f>
        <v>19000</v>
      </c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68" t="s">
        <v>178</v>
      </c>
      <c r="BE16" s="67" t="s">
        <v>177</v>
      </c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68" t="s">
        <v>178</v>
      </c>
      <c r="BT16" s="97"/>
      <c r="BU16" s="98"/>
      <c r="BV16" s="95"/>
      <c r="BW16" s="96">
        <v>6411</v>
      </c>
      <c r="CW16" s="30"/>
      <c r="CX16" s="30"/>
    </row>
    <row r="17" spans="2:102" ht="15">
      <c r="B17" s="370" t="s">
        <v>325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282">
        <v>3190</v>
      </c>
      <c r="AM17" s="282"/>
      <c r="AN17" s="282"/>
      <c r="AO17" s="282"/>
      <c r="AP17" s="282"/>
      <c r="AQ17" s="67" t="s">
        <v>177</v>
      </c>
      <c r="AR17" s="362">
        <f>(BV11+BV25+BV13)</f>
        <v>7875</v>
      </c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68" t="s">
        <v>178</v>
      </c>
      <c r="BE17" s="67" t="s">
        <v>177</v>
      </c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68" t="s">
        <v>178</v>
      </c>
      <c r="BT17" s="99"/>
      <c r="BU17" s="98"/>
      <c r="BV17" s="95"/>
      <c r="BW17" s="102" t="s">
        <v>356</v>
      </c>
      <c r="CW17" s="30"/>
      <c r="CX17" s="30"/>
    </row>
    <row r="18" spans="2:102" ht="15">
      <c r="B18" s="388" t="s">
        <v>237</v>
      </c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279">
        <v>3195</v>
      </c>
      <c r="AM18" s="279"/>
      <c r="AN18" s="279"/>
      <c r="AO18" s="279"/>
      <c r="AP18" s="279"/>
      <c r="AQ18" s="389">
        <f>SUM(AQ5:BD11)-SUM(AR12:BC17)</f>
        <v>405775</v>
      </c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90">
        <f>SUM(BE5:BR11)-SUM(BF12:BQ17)</f>
        <v>0</v>
      </c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T18" s="100"/>
      <c r="BU18" s="101"/>
      <c r="BV18" s="95">
        <v>3750</v>
      </c>
      <c r="BW18" s="102" t="s">
        <v>357</v>
      </c>
      <c r="CW18" s="30"/>
      <c r="CX18" s="30"/>
    </row>
    <row r="19" spans="2:102" ht="15">
      <c r="B19" s="379" t="s">
        <v>307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1"/>
      <c r="AL19" s="291">
        <v>3200</v>
      </c>
      <c r="AM19" s="292"/>
      <c r="AN19" s="292"/>
      <c r="AO19" s="292"/>
      <c r="AP19" s="293"/>
      <c r="AQ19" s="291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3"/>
      <c r="BE19" s="291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3"/>
      <c r="BT19" s="100"/>
      <c r="BU19" s="101"/>
      <c r="BV19" s="109">
        <v>75000</v>
      </c>
      <c r="BW19" s="103" t="s">
        <v>504</v>
      </c>
      <c r="CW19" s="30"/>
      <c r="CX19" s="30"/>
    </row>
    <row r="20" spans="2:102" ht="15">
      <c r="B20" s="385" t="s">
        <v>308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7"/>
      <c r="AL20" s="382"/>
      <c r="AM20" s="383"/>
      <c r="AN20" s="383"/>
      <c r="AO20" s="383"/>
      <c r="AP20" s="384"/>
      <c r="AQ20" s="382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4"/>
      <c r="BE20" s="382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4"/>
      <c r="BT20" s="105"/>
      <c r="BU20" s="108">
        <f>SUM(BU6:BU19)</f>
        <v>1140500</v>
      </c>
      <c r="BV20" s="108">
        <f>SUM(BV6:BV19)</f>
        <v>269225</v>
      </c>
      <c r="BW20" s="107"/>
      <c r="CW20" s="30"/>
      <c r="CX20" s="30"/>
    </row>
    <row r="21" spans="2:102" ht="15">
      <c r="B21" s="366" t="s">
        <v>238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8"/>
      <c r="AL21" s="294"/>
      <c r="AM21" s="295"/>
      <c r="AN21" s="295"/>
      <c r="AO21" s="295"/>
      <c r="AP21" s="296"/>
      <c r="AQ21" s="294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6"/>
      <c r="BE21" s="294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6"/>
      <c r="BT21" s="105"/>
      <c r="BU21" s="108">
        <f>BU5+BU20-BV20</f>
        <v>894145</v>
      </c>
      <c r="BV21" s="106"/>
      <c r="BW21" s="107"/>
      <c r="CW21" s="30"/>
      <c r="CX21" s="30"/>
    </row>
    <row r="22" spans="2:102" ht="15">
      <c r="B22" s="378" t="s">
        <v>239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282">
        <v>3205</v>
      </c>
      <c r="AM22" s="282"/>
      <c r="AN22" s="282"/>
      <c r="AO22" s="282"/>
      <c r="AP22" s="282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CW22" s="30"/>
      <c r="CX22" s="30"/>
    </row>
    <row r="23" spans="2:75" ht="15">
      <c r="B23" s="363" t="s">
        <v>240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5"/>
      <c r="AL23" s="291">
        <v>3215</v>
      </c>
      <c r="AM23" s="292"/>
      <c r="AN23" s="292"/>
      <c r="AO23" s="292"/>
      <c r="AP23" s="293"/>
      <c r="AQ23" s="372">
        <f>BU10</f>
        <v>500</v>
      </c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4"/>
      <c r="BE23" s="291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3"/>
      <c r="BT23" s="409" t="s">
        <v>358</v>
      </c>
      <c r="BU23" s="410"/>
      <c r="BV23" s="411" t="s">
        <v>359</v>
      </c>
      <c r="BW23" s="409"/>
    </row>
    <row r="24" spans="2:75" ht="15">
      <c r="B24" s="366" t="s">
        <v>241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8"/>
      <c r="AL24" s="294"/>
      <c r="AM24" s="295"/>
      <c r="AN24" s="295"/>
      <c r="AO24" s="295"/>
      <c r="AP24" s="296"/>
      <c r="AQ24" s="375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7"/>
      <c r="BE24" s="294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6"/>
      <c r="BT24" s="110" t="s">
        <v>360</v>
      </c>
      <c r="BU24" s="104">
        <v>300</v>
      </c>
      <c r="BV24" s="87"/>
      <c r="BW24" s="86"/>
    </row>
    <row r="25" spans="2:75" ht="15">
      <c r="B25" s="371" t="s">
        <v>242</v>
      </c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282">
        <v>3220</v>
      </c>
      <c r="AM25" s="282"/>
      <c r="AN25" s="282"/>
      <c r="AO25" s="282"/>
      <c r="AP25" s="282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T25" s="89">
        <v>311</v>
      </c>
      <c r="BU25" s="90">
        <v>15000</v>
      </c>
      <c r="BV25" s="91">
        <v>5000</v>
      </c>
      <c r="BW25" s="92">
        <v>372</v>
      </c>
    </row>
    <row r="26" spans="2:75" ht="15">
      <c r="B26" s="370" t="s">
        <v>243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282">
        <v>3225</v>
      </c>
      <c r="AM26" s="282"/>
      <c r="AN26" s="282"/>
      <c r="AO26" s="282"/>
      <c r="AP26" s="282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T26" s="93"/>
      <c r="BU26" s="94"/>
      <c r="BV26" s="95">
        <v>10000</v>
      </c>
      <c r="BW26" s="96">
        <v>661</v>
      </c>
    </row>
    <row r="27" spans="2:75" ht="15">
      <c r="B27" s="369" t="s">
        <v>309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82">
        <v>3250</v>
      </c>
      <c r="AM27" s="282"/>
      <c r="AN27" s="282"/>
      <c r="AO27" s="282"/>
      <c r="AP27" s="282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T27" s="105"/>
      <c r="BU27" s="108">
        <f>SUM(BU25:BU26)</f>
        <v>15000</v>
      </c>
      <c r="BV27" s="108">
        <f>SUM(BV25:BV26)</f>
        <v>15000</v>
      </c>
      <c r="BW27" s="107"/>
    </row>
    <row r="28" spans="2:75" ht="15" customHeight="1">
      <c r="B28" s="363" t="s">
        <v>310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5"/>
      <c r="AL28" s="291">
        <v>3255</v>
      </c>
      <c r="AM28" s="292"/>
      <c r="AN28" s="292"/>
      <c r="AO28" s="292"/>
      <c r="AP28" s="293"/>
      <c r="AQ28" s="291" t="s">
        <v>177</v>
      </c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3" t="s">
        <v>178</v>
      </c>
      <c r="BE28" s="291" t="s">
        <v>177</v>
      </c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3" t="s">
        <v>178</v>
      </c>
      <c r="BT28" s="105" t="s">
        <v>360</v>
      </c>
      <c r="BU28" s="108">
        <f>BU24+BU27-BV27</f>
        <v>300</v>
      </c>
      <c r="BV28" s="106"/>
      <c r="BW28" s="107"/>
    </row>
    <row r="29" spans="2:70" ht="15" customHeight="1">
      <c r="B29" s="366" t="s">
        <v>238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8"/>
      <c r="AL29" s="294"/>
      <c r="AM29" s="295"/>
      <c r="AN29" s="295"/>
      <c r="AO29" s="295"/>
      <c r="AP29" s="296"/>
      <c r="AQ29" s="294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6"/>
      <c r="BE29" s="294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6"/>
    </row>
    <row r="30" spans="2:75" ht="15" customHeight="1">
      <c r="B30" s="359" t="s">
        <v>239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1"/>
      <c r="AL30" s="343">
        <v>3260</v>
      </c>
      <c r="AM30" s="283"/>
      <c r="AN30" s="283"/>
      <c r="AO30" s="283"/>
      <c r="AP30" s="357"/>
      <c r="AQ30" s="67" t="s">
        <v>177</v>
      </c>
      <c r="AR30" s="362">
        <f>BV8</f>
        <v>15500</v>
      </c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68" t="s">
        <v>178</v>
      </c>
      <c r="BE30" s="67" t="s">
        <v>177</v>
      </c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68" t="s">
        <v>178</v>
      </c>
      <c r="BT30" s="409" t="s">
        <v>361</v>
      </c>
      <c r="BU30" s="410"/>
      <c r="BV30" s="411" t="s">
        <v>362</v>
      </c>
      <c r="BW30" s="409"/>
    </row>
    <row r="31" spans="2:75" ht="15" customHeight="1">
      <c r="B31" s="354" t="s">
        <v>244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6"/>
      <c r="AL31" s="343">
        <v>3270</v>
      </c>
      <c r="AM31" s="283"/>
      <c r="AN31" s="283"/>
      <c r="AO31" s="283"/>
      <c r="AP31" s="357"/>
      <c r="AQ31" s="67" t="s">
        <v>177</v>
      </c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68" t="s">
        <v>178</v>
      </c>
      <c r="BE31" s="67" t="s">
        <v>177</v>
      </c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68" t="s">
        <v>178</v>
      </c>
      <c r="BT31" s="110" t="s">
        <v>360</v>
      </c>
      <c r="BU31" s="104">
        <v>52930</v>
      </c>
      <c r="BV31" s="87"/>
      <c r="BW31" s="86"/>
    </row>
    <row r="32" spans="2:75" ht="15" customHeight="1">
      <c r="B32" s="354" t="s">
        <v>245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6"/>
      <c r="AL32" s="343">
        <v>3290</v>
      </c>
      <c r="AM32" s="283"/>
      <c r="AN32" s="283"/>
      <c r="AO32" s="283"/>
      <c r="AP32" s="357"/>
      <c r="AQ32" s="67" t="s">
        <v>177</v>
      </c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68" t="s">
        <v>178</v>
      </c>
      <c r="BE32" s="67" t="s">
        <v>177</v>
      </c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68" t="s">
        <v>178</v>
      </c>
      <c r="BT32" s="89">
        <v>714</v>
      </c>
      <c r="BU32" s="90">
        <v>335</v>
      </c>
      <c r="BV32" s="91"/>
      <c r="BW32" s="92"/>
    </row>
    <row r="33" spans="2:75" ht="15" customHeight="1">
      <c r="B33" s="412" t="s">
        <v>246</v>
      </c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4"/>
      <c r="AL33" s="415">
        <v>3295</v>
      </c>
      <c r="AM33" s="416"/>
      <c r="AN33" s="416"/>
      <c r="AO33" s="416"/>
      <c r="AP33" s="417"/>
      <c r="AQ33" s="418">
        <f>SUM(AQ19:BD27)-SUM(AR28:BC32)</f>
        <v>-15000</v>
      </c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20"/>
      <c r="BE33" s="418">
        <f>SUM(BE19:BR27)-SUM(BF28:BQ32)</f>
        <v>0</v>
      </c>
      <c r="BF33" s="419"/>
      <c r="BG33" s="419"/>
      <c r="BH33" s="419"/>
      <c r="BI33" s="419"/>
      <c r="BJ33" s="419"/>
      <c r="BK33" s="419"/>
      <c r="BL33" s="419"/>
      <c r="BM33" s="419"/>
      <c r="BN33" s="419"/>
      <c r="BO33" s="419"/>
      <c r="BP33" s="419"/>
      <c r="BQ33" s="419"/>
      <c r="BR33" s="420"/>
      <c r="BT33" s="105"/>
      <c r="BU33" s="108">
        <f>SUM(BU32:BU32)</f>
        <v>335</v>
      </c>
      <c r="BV33" s="108">
        <f>SUM(BV32:BV32)</f>
        <v>0</v>
      </c>
      <c r="BW33" s="107"/>
    </row>
    <row r="34" spans="2:75" ht="15" customHeight="1">
      <c r="B34" s="379" t="s">
        <v>311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1"/>
      <c r="AL34" s="291">
        <v>3300</v>
      </c>
      <c r="AM34" s="292"/>
      <c r="AN34" s="292"/>
      <c r="AO34" s="292"/>
      <c r="AP34" s="293"/>
      <c r="AQ34" s="402">
        <f>BU11</f>
        <v>400000</v>
      </c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3"/>
      <c r="BE34" s="291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3"/>
      <c r="BT34" s="105" t="s">
        <v>360</v>
      </c>
      <c r="BU34" s="108">
        <f>BU31+BU33-BV33</f>
        <v>53265</v>
      </c>
      <c r="BV34" s="106"/>
      <c r="BW34" s="107"/>
    </row>
    <row r="35" spans="2:70" ht="15" customHeight="1">
      <c r="B35" s="385" t="s">
        <v>312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7"/>
      <c r="AL35" s="382"/>
      <c r="AM35" s="383"/>
      <c r="AN35" s="383"/>
      <c r="AO35" s="383"/>
      <c r="AP35" s="384"/>
      <c r="AQ35" s="382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4"/>
      <c r="BE35" s="382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4"/>
    </row>
    <row r="36" spans="2:70" ht="15" customHeight="1">
      <c r="B36" s="394" t="s">
        <v>313</v>
      </c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6"/>
      <c r="AL36" s="294"/>
      <c r="AM36" s="295"/>
      <c r="AN36" s="295"/>
      <c r="AO36" s="295"/>
      <c r="AP36" s="296"/>
      <c r="AQ36" s="294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6"/>
      <c r="BE36" s="294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6"/>
    </row>
    <row r="37" spans="2:75" ht="15" customHeight="1">
      <c r="B37" s="354" t="s">
        <v>247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6"/>
      <c r="AL37" s="343">
        <v>3305</v>
      </c>
      <c r="AM37" s="283"/>
      <c r="AN37" s="283"/>
      <c r="AO37" s="283"/>
      <c r="AP37" s="357"/>
      <c r="AQ37" s="421">
        <f>BU9</f>
        <v>180000</v>
      </c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422"/>
      <c r="BE37" s="423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422"/>
      <c r="BT37" s="409" t="s">
        <v>363</v>
      </c>
      <c r="BU37" s="410"/>
      <c r="BV37" s="411" t="s">
        <v>364</v>
      </c>
      <c r="BW37" s="409"/>
    </row>
    <row r="38" spans="2:75" ht="15" customHeight="1">
      <c r="B38" s="354" t="s">
        <v>309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6"/>
      <c r="AL38" s="343">
        <v>3340</v>
      </c>
      <c r="AM38" s="283"/>
      <c r="AN38" s="283"/>
      <c r="AO38" s="283"/>
      <c r="AP38" s="357"/>
      <c r="AQ38" s="423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422"/>
      <c r="BE38" s="423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422"/>
      <c r="BT38" s="110" t="s">
        <v>360</v>
      </c>
      <c r="BU38" s="104">
        <v>0</v>
      </c>
      <c r="BV38" s="87"/>
      <c r="BW38" s="86"/>
    </row>
    <row r="39" spans="2:75" ht="15" customHeight="1">
      <c r="B39" s="363" t="s">
        <v>248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5"/>
      <c r="AL39" s="291">
        <v>3345</v>
      </c>
      <c r="AM39" s="292"/>
      <c r="AN39" s="292"/>
      <c r="AO39" s="292"/>
      <c r="AP39" s="293"/>
      <c r="AQ39" s="291" t="s">
        <v>177</v>
      </c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3" t="s">
        <v>178</v>
      </c>
      <c r="BE39" s="291" t="s">
        <v>177</v>
      </c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3" t="s">
        <v>178</v>
      </c>
      <c r="BT39" s="89">
        <v>311</v>
      </c>
      <c r="BU39" s="90">
        <v>75000</v>
      </c>
      <c r="BV39" s="91"/>
      <c r="BW39" s="92"/>
    </row>
    <row r="40" spans="2:75" ht="15">
      <c r="B40" s="394" t="s">
        <v>249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6"/>
      <c r="AL40" s="294"/>
      <c r="AM40" s="295"/>
      <c r="AN40" s="295"/>
      <c r="AO40" s="295"/>
      <c r="AP40" s="296"/>
      <c r="AQ40" s="294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6"/>
      <c r="BE40" s="294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6"/>
      <c r="BT40" s="93"/>
      <c r="BU40" s="94"/>
      <c r="BV40" s="95"/>
      <c r="BW40" s="96"/>
    </row>
    <row r="41" spans="2:75" ht="15">
      <c r="B41" s="392" t="s">
        <v>314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282">
        <v>3350</v>
      </c>
      <c r="AM41" s="282"/>
      <c r="AN41" s="282"/>
      <c r="AO41" s="282"/>
      <c r="AP41" s="282"/>
      <c r="AQ41" s="67" t="s">
        <v>177</v>
      </c>
      <c r="AR41" s="362">
        <f>BV12</f>
        <v>12500</v>
      </c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68" t="s">
        <v>178</v>
      </c>
      <c r="BE41" s="67" t="s">
        <v>177</v>
      </c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68" t="s">
        <v>178</v>
      </c>
      <c r="BT41" s="105"/>
      <c r="BU41" s="108">
        <f>SUM(BU39:BU40)</f>
        <v>75000</v>
      </c>
      <c r="BV41" s="108">
        <f>SUM(BV39:BV40)</f>
        <v>0</v>
      </c>
      <c r="BW41" s="107"/>
    </row>
    <row r="42" spans="2:70" ht="15">
      <c r="B42" s="370" t="s">
        <v>315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282">
        <v>3355</v>
      </c>
      <c r="AM42" s="282"/>
      <c r="AN42" s="282"/>
      <c r="AO42" s="282"/>
      <c r="AP42" s="282"/>
      <c r="AQ42" s="67" t="s">
        <v>177</v>
      </c>
      <c r="AR42" s="391">
        <f>BV14</f>
        <v>12000</v>
      </c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68" t="s">
        <v>178</v>
      </c>
      <c r="BE42" s="67" t="s">
        <v>177</v>
      </c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68" t="s">
        <v>178</v>
      </c>
    </row>
    <row r="43" spans="2:75" ht="15" hidden="1">
      <c r="B43" s="424" t="s">
        <v>326</v>
      </c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6"/>
      <c r="AL43" s="343">
        <v>3360</v>
      </c>
      <c r="AM43" s="283"/>
      <c r="AN43" s="283"/>
      <c r="AO43" s="283"/>
      <c r="AP43" s="357"/>
      <c r="AQ43" s="67" t="s">
        <v>177</v>
      </c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68" t="s">
        <v>178</v>
      </c>
      <c r="BE43" s="67" t="s">
        <v>177</v>
      </c>
      <c r="BF43" s="358"/>
      <c r="BG43" s="358"/>
      <c r="BH43" s="358"/>
      <c r="BI43" s="358"/>
      <c r="BJ43" s="358"/>
      <c r="BK43" s="358"/>
      <c r="BL43" s="358"/>
      <c r="BM43" s="358"/>
      <c r="BN43" s="358"/>
      <c r="BO43" s="358"/>
      <c r="BP43" s="358"/>
      <c r="BQ43" s="358"/>
      <c r="BR43" s="68" t="s">
        <v>178</v>
      </c>
      <c r="BT43" s="105" t="s">
        <v>360</v>
      </c>
      <c r="BU43" s="108">
        <f>BU38+BU41-BV41</f>
        <v>75000</v>
      </c>
      <c r="BV43" s="106"/>
      <c r="BW43" s="107"/>
    </row>
    <row r="44" spans="2:70" ht="15" hidden="1">
      <c r="B44" s="424" t="s">
        <v>327</v>
      </c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6"/>
      <c r="AL44" s="343">
        <v>3365</v>
      </c>
      <c r="AM44" s="283"/>
      <c r="AN44" s="283"/>
      <c r="AO44" s="283"/>
      <c r="AP44" s="357"/>
      <c r="AQ44" s="67" t="s">
        <v>177</v>
      </c>
      <c r="AR44" s="358"/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68" t="s">
        <v>178</v>
      </c>
      <c r="BE44" s="67" t="s">
        <v>177</v>
      </c>
      <c r="BF44" s="358"/>
      <c r="BG44" s="358"/>
      <c r="BH44" s="358"/>
      <c r="BI44" s="358"/>
      <c r="BJ44" s="358"/>
      <c r="BK44" s="358"/>
      <c r="BL44" s="358"/>
      <c r="BM44" s="358"/>
      <c r="BN44" s="358"/>
      <c r="BO44" s="358"/>
      <c r="BP44" s="358"/>
      <c r="BQ44" s="358"/>
      <c r="BR44" s="68" t="s">
        <v>178</v>
      </c>
    </row>
    <row r="45" spans="2:70" ht="15" hidden="1">
      <c r="B45" s="424" t="s">
        <v>328</v>
      </c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6"/>
      <c r="AL45" s="343">
        <v>3370</v>
      </c>
      <c r="AM45" s="283"/>
      <c r="AN45" s="283"/>
      <c r="AO45" s="283"/>
      <c r="AP45" s="357"/>
      <c r="AQ45" s="67" t="s">
        <v>177</v>
      </c>
      <c r="AR45" s="358"/>
      <c r="AS45" s="358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68" t="s">
        <v>178</v>
      </c>
      <c r="BE45" s="67" t="s">
        <v>177</v>
      </c>
      <c r="BF45" s="358"/>
      <c r="BG45" s="358"/>
      <c r="BH45" s="358"/>
      <c r="BI45" s="358"/>
      <c r="BJ45" s="358"/>
      <c r="BK45" s="358"/>
      <c r="BL45" s="358"/>
      <c r="BM45" s="358"/>
      <c r="BN45" s="358"/>
      <c r="BO45" s="358"/>
      <c r="BP45" s="358"/>
      <c r="BQ45" s="358"/>
      <c r="BR45" s="68" t="s">
        <v>178</v>
      </c>
    </row>
    <row r="46" spans="2:70" ht="30" customHeight="1" hidden="1">
      <c r="B46" s="424" t="s">
        <v>329</v>
      </c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6"/>
      <c r="AL46" s="343">
        <v>3375</v>
      </c>
      <c r="AM46" s="283"/>
      <c r="AN46" s="283"/>
      <c r="AO46" s="283"/>
      <c r="AP46" s="357"/>
      <c r="AQ46" s="67" t="s">
        <v>177</v>
      </c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68" t="s">
        <v>178</v>
      </c>
      <c r="BE46" s="67" t="s">
        <v>177</v>
      </c>
      <c r="BF46" s="358"/>
      <c r="BG46" s="358"/>
      <c r="BH46" s="358"/>
      <c r="BI46" s="358"/>
      <c r="BJ46" s="358"/>
      <c r="BK46" s="358"/>
      <c r="BL46" s="358"/>
      <c r="BM46" s="358"/>
      <c r="BN46" s="358"/>
      <c r="BO46" s="358"/>
      <c r="BP46" s="358"/>
      <c r="BQ46" s="358"/>
      <c r="BR46" s="68" t="s">
        <v>178</v>
      </c>
    </row>
    <row r="47" spans="2:70" ht="15">
      <c r="B47" s="370" t="s">
        <v>245</v>
      </c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282">
        <v>3390</v>
      </c>
      <c r="AM47" s="282"/>
      <c r="AN47" s="282"/>
      <c r="AO47" s="282"/>
      <c r="AP47" s="282"/>
      <c r="AQ47" s="67" t="s">
        <v>177</v>
      </c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68" t="s">
        <v>178</v>
      </c>
      <c r="BE47" s="67" t="s">
        <v>177</v>
      </c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68" t="s">
        <v>178</v>
      </c>
    </row>
    <row r="48" spans="2:70" ht="15">
      <c r="B48" s="427" t="s">
        <v>316</v>
      </c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279">
        <v>3395</v>
      </c>
      <c r="AM48" s="279"/>
      <c r="AN48" s="279"/>
      <c r="AO48" s="279"/>
      <c r="AP48" s="279"/>
      <c r="AQ48" s="428">
        <f>AQ34+AQ37-AR41-AR42-AR47</f>
        <v>555500</v>
      </c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90"/>
      <c r="BF48" s="390"/>
      <c r="BG48" s="390"/>
      <c r="BH48" s="390"/>
      <c r="BI48" s="390"/>
      <c r="BJ48" s="390"/>
      <c r="BK48" s="390"/>
      <c r="BL48" s="390"/>
      <c r="BM48" s="390"/>
      <c r="BN48" s="390"/>
      <c r="BO48" s="390"/>
      <c r="BP48" s="390"/>
      <c r="BQ48" s="390"/>
      <c r="BR48" s="390"/>
    </row>
    <row r="49" spans="2:70" ht="15">
      <c r="B49" s="278" t="s">
        <v>317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9">
        <v>3400</v>
      </c>
      <c r="AM49" s="279"/>
      <c r="AN49" s="279"/>
      <c r="AO49" s="279"/>
      <c r="AP49" s="279"/>
      <c r="AQ49" s="428">
        <f>AQ18+AQ33+AQ48</f>
        <v>946275</v>
      </c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90">
        <f>BE18+BE33+BE48</f>
        <v>0</v>
      </c>
      <c r="BF49" s="390"/>
      <c r="BG49" s="390"/>
      <c r="BH49" s="390"/>
      <c r="BI49" s="390"/>
      <c r="BJ49" s="390"/>
      <c r="BK49" s="390"/>
      <c r="BL49" s="390"/>
      <c r="BM49" s="390"/>
      <c r="BN49" s="390"/>
      <c r="BO49" s="390"/>
      <c r="BP49" s="390"/>
      <c r="BQ49" s="390"/>
      <c r="BR49" s="390"/>
    </row>
    <row r="50" spans="2:70" ht="15">
      <c r="B50" s="281" t="s">
        <v>318</v>
      </c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2">
        <v>3405</v>
      </c>
      <c r="AM50" s="282"/>
      <c r="AN50" s="282"/>
      <c r="AO50" s="282"/>
      <c r="AP50" s="282"/>
      <c r="AQ50" s="319">
        <f>ОСВ!B21+ОСВ!B22+ОСВ!B23+ОСВ!B24</f>
        <v>76100</v>
      </c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</row>
    <row r="51" spans="2:70" ht="15">
      <c r="B51" s="281" t="s">
        <v>319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>
        <v>3410</v>
      </c>
      <c r="AM51" s="282"/>
      <c r="AN51" s="282"/>
      <c r="AO51" s="282"/>
      <c r="AP51" s="282"/>
      <c r="AQ51" s="319">
        <v>335</v>
      </c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  <c r="BN51" s="319"/>
      <c r="BO51" s="319"/>
      <c r="BP51" s="319"/>
      <c r="BQ51" s="319"/>
      <c r="BR51" s="319"/>
    </row>
    <row r="52" spans="2:71" ht="15">
      <c r="B52" s="281" t="s">
        <v>320</v>
      </c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2">
        <v>3415</v>
      </c>
      <c r="AM52" s="282"/>
      <c r="AN52" s="282"/>
      <c r="AO52" s="282"/>
      <c r="AP52" s="282"/>
      <c r="AQ52" s="389">
        <f>AQ49+AQ50+AQ51</f>
        <v>1022710</v>
      </c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90">
        <f>BE49+BE50+BE51</f>
        <v>0</v>
      </c>
      <c r="BF52" s="390"/>
      <c r="BG52" s="390"/>
      <c r="BH52" s="390"/>
      <c r="BI52" s="390"/>
      <c r="BJ52" s="390"/>
      <c r="BK52" s="390"/>
      <c r="BL52" s="390"/>
      <c r="BM52" s="390"/>
      <c r="BN52" s="390"/>
      <c r="BO52" s="390"/>
      <c r="BP52" s="390"/>
      <c r="BQ52" s="390"/>
      <c r="BR52" s="390"/>
      <c r="BS52" s="29">
        <f>ОСВ!F21+ОСВ!F22+ОСВ!F23+ОСВ!F24</f>
        <v>1022710</v>
      </c>
    </row>
    <row r="53" spans="2:71" ht="1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29">
        <f>BS52-AQ52</f>
        <v>0</v>
      </c>
    </row>
    <row r="54" spans="2:70" ht="1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</row>
    <row r="55" spans="2:70" ht="1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</row>
    <row r="56" spans="2:70" ht="1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</row>
    <row r="57" spans="2:70" ht="1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</row>
    <row r="58" spans="2:70" ht="1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</row>
    <row r="59" spans="2:70" ht="1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</row>
    <row r="60" spans="2:70" ht="1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</row>
    <row r="61" spans="2:70" ht="1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</row>
    <row r="62" spans="2:70" ht="1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</row>
    <row r="63" spans="2:70" ht="1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</row>
    <row r="64" spans="2:70" ht="1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</row>
    <row r="65" spans="2:70" ht="1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</row>
    <row r="66" spans="2:70" ht="1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2:70" ht="1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</row>
    <row r="68" spans="2:70" ht="1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</row>
    <row r="69" spans="2:70" ht="1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</row>
    <row r="70" spans="2:70" ht="1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</row>
    <row r="71" spans="2:70" ht="1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</row>
    <row r="72" spans="2:70" ht="1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</row>
    <row r="73" spans="2:70" ht="1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</row>
    <row r="74" spans="2:70" ht="1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</row>
    <row r="75" spans="2:70" ht="1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</row>
    <row r="76" spans="2:70" ht="1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</row>
    <row r="77" spans="2:70" ht="1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</row>
    <row r="78" spans="2:70" ht="1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</row>
    <row r="79" spans="2:70" ht="1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2:70" ht="1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2:70" ht="1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2:70" ht="1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2:70" ht="1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2:70" ht="1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2:70" ht="1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2:70" ht="1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2:70" ht="1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2:70" ht="1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2:70" ht="1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2:70" ht="1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2:70" ht="1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2:70" ht="1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2:70" ht="1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2:70" ht="1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2:70" ht="1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2:70" ht="1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2:70" ht="1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2:70" ht="1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</sheetData>
  <mergeCells count="195">
    <mergeCell ref="AQ52:BD52"/>
    <mergeCell ref="BE52:BR52"/>
    <mergeCell ref="B51:AK51"/>
    <mergeCell ref="AL51:AP51"/>
    <mergeCell ref="AQ51:BD51"/>
    <mergeCell ref="BE51:BR51"/>
    <mergeCell ref="B52:AK52"/>
    <mergeCell ref="AL52:AP52"/>
    <mergeCell ref="B50:AK50"/>
    <mergeCell ref="AL50:AP50"/>
    <mergeCell ref="AQ50:BD50"/>
    <mergeCell ref="BE50:BR50"/>
    <mergeCell ref="B49:AK49"/>
    <mergeCell ref="AL49:AP49"/>
    <mergeCell ref="AQ49:BD49"/>
    <mergeCell ref="BE49:BR49"/>
    <mergeCell ref="B48:AK48"/>
    <mergeCell ref="AL48:AP48"/>
    <mergeCell ref="AQ48:BD48"/>
    <mergeCell ref="BE48:BR48"/>
    <mergeCell ref="B47:AK47"/>
    <mergeCell ref="AL47:AP47"/>
    <mergeCell ref="AR47:BC47"/>
    <mergeCell ref="BF47:BQ47"/>
    <mergeCell ref="B46:AK46"/>
    <mergeCell ref="AL46:AP46"/>
    <mergeCell ref="AR46:BC46"/>
    <mergeCell ref="BF46:BQ46"/>
    <mergeCell ref="B45:AK45"/>
    <mergeCell ref="AL45:AP45"/>
    <mergeCell ref="AR45:BC45"/>
    <mergeCell ref="BF45:BQ45"/>
    <mergeCell ref="B44:AK44"/>
    <mergeCell ref="AL44:AP44"/>
    <mergeCell ref="AR44:BC44"/>
    <mergeCell ref="BF44:BQ44"/>
    <mergeCell ref="B43:AK43"/>
    <mergeCell ref="AL43:AP43"/>
    <mergeCell ref="AR43:BC43"/>
    <mergeCell ref="BF43:BQ43"/>
    <mergeCell ref="B42:AK42"/>
    <mergeCell ref="AL42:AP42"/>
    <mergeCell ref="AR42:BC42"/>
    <mergeCell ref="BF42:BQ42"/>
    <mergeCell ref="B41:AK41"/>
    <mergeCell ref="AL41:AP41"/>
    <mergeCell ref="AR41:BC41"/>
    <mergeCell ref="BF41:BQ41"/>
    <mergeCell ref="BD39:BD40"/>
    <mergeCell ref="BE39:BE40"/>
    <mergeCell ref="BF39:BQ40"/>
    <mergeCell ref="BR39:BR40"/>
    <mergeCell ref="B39:AK39"/>
    <mergeCell ref="AL39:AP40"/>
    <mergeCell ref="AQ39:AQ40"/>
    <mergeCell ref="AR39:BC40"/>
    <mergeCell ref="B40:AK40"/>
    <mergeCell ref="B38:AK38"/>
    <mergeCell ref="AL38:AP38"/>
    <mergeCell ref="AQ38:BD38"/>
    <mergeCell ref="BE38:BR38"/>
    <mergeCell ref="BT4:BU4"/>
    <mergeCell ref="BV4:BW4"/>
    <mergeCell ref="BT23:BU23"/>
    <mergeCell ref="BV23:BW23"/>
    <mergeCell ref="B37:AK37"/>
    <mergeCell ref="AL37:AP37"/>
    <mergeCell ref="AQ37:BD37"/>
    <mergeCell ref="BE37:BR37"/>
    <mergeCell ref="B34:AK34"/>
    <mergeCell ref="AL34:AP36"/>
    <mergeCell ref="AQ34:BD36"/>
    <mergeCell ref="BE34:BR36"/>
    <mergeCell ref="B35:AK35"/>
    <mergeCell ref="B36:AK36"/>
    <mergeCell ref="B33:AK33"/>
    <mergeCell ref="AL33:AP33"/>
    <mergeCell ref="AQ33:BD33"/>
    <mergeCell ref="BE33:BR33"/>
    <mergeCell ref="B32:AK32"/>
    <mergeCell ref="AL32:AP32"/>
    <mergeCell ref="AR32:BC32"/>
    <mergeCell ref="BF32:BQ32"/>
    <mergeCell ref="BT30:BU30"/>
    <mergeCell ref="BV30:BW30"/>
    <mergeCell ref="BT37:BU37"/>
    <mergeCell ref="BV37:BW37"/>
    <mergeCell ref="B1:BQ1"/>
    <mergeCell ref="B2:AB2"/>
    <mergeCell ref="AC2:AE2"/>
    <mergeCell ref="AF2:AH2"/>
    <mergeCell ref="AI2:BQ2"/>
    <mergeCell ref="B3:AK3"/>
    <mergeCell ref="AL3:AP3"/>
    <mergeCell ref="AQ3:BD3"/>
    <mergeCell ref="BE3:BR3"/>
    <mergeCell ref="B4:AK4"/>
    <mergeCell ref="AL4:AP4"/>
    <mergeCell ref="AQ4:BD4"/>
    <mergeCell ref="BE4:BR4"/>
    <mergeCell ref="B5:AK5"/>
    <mergeCell ref="AL5:AP7"/>
    <mergeCell ref="AQ5:BD7"/>
    <mergeCell ref="BE5:BR7"/>
    <mergeCell ref="B6:AK6"/>
    <mergeCell ref="B7:AK7"/>
    <mergeCell ref="B8:AK8"/>
    <mergeCell ref="AL8:AP8"/>
    <mergeCell ref="AQ8:BD8"/>
    <mergeCell ref="BE8:BR8"/>
    <mergeCell ref="B9:AK9"/>
    <mergeCell ref="AL9:AP9"/>
    <mergeCell ref="AQ9:BD9"/>
    <mergeCell ref="BE9:BR9"/>
    <mergeCell ref="B10:AK10"/>
    <mergeCell ref="AL10:AP10"/>
    <mergeCell ref="AQ10:BD10"/>
    <mergeCell ref="BE10:BR10"/>
    <mergeCell ref="B11:AK11"/>
    <mergeCell ref="AL11:AP11"/>
    <mergeCell ref="AQ11:BD11"/>
    <mergeCell ref="BE11:BR11"/>
    <mergeCell ref="B12:AK12"/>
    <mergeCell ref="AL12:AP13"/>
    <mergeCell ref="AQ12:AQ13"/>
    <mergeCell ref="AR12:BC13"/>
    <mergeCell ref="B13:AK13"/>
    <mergeCell ref="BD12:BD13"/>
    <mergeCell ref="BE12:BE13"/>
    <mergeCell ref="BF12:BQ13"/>
    <mergeCell ref="BR12:BR13"/>
    <mergeCell ref="B14:AK14"/>
    <mergeCell ref="AL14:AP14"/>
    <mergeCell ref="AR14:BC14"/>
    <mergeCell ref="BF14:BQ14"/>
    <mergeCell ref="B15:AK15"/>
    <mergeCell ref="AL15:AP15"/>
    <mergeCell ref="AR15:BC15"/>
    <mergeCell ref="BF15:BQ15"/>
    <mergeCell ref="B16:AK16"/>
    <mergeCell ref="AL16:AP16"/>
    <mergeCell ref="AR16:BC16"/>
    <mergeCell ref="BF16:BQ16"/>
    <mergeCell ref="B17:AK17"/>
    <mergeCell ref="AL17:AP17"/>
    <mergeCell ref="AR17:BC17"/>
    <mergeCell ref="BF17:BQ17"/>
    <mergeCell ref="B18:AK18"/>
    <mergeCell ref="AL18:AP18"/>
    <mergeCell ref="AQ18:BD18"/>
    <mergeCell ref="BE18:BR18"/>
    <mergeCell ref="B19:AK19"/>
    <mergeCell ref="AL19:AP21"/>
    <mergeCell ref="AQ19:BD21"/>
    <mergeCell ref="BE19:BR21"/>
    <mergeCell ref="B20:AK20"/>
    <mergeCell ref="B21:AK21"/>
    <mergeCell ref="B22:AK22"/>
    <mergeCell ref="AL22:AP22"/>
    <mergeCell ref="AQ22:BD22"/>
    <mergeCell ref="BE22:BR22"/>
    <mergeCell ref="B23:AK23"/>
    <mergeCell ref="AL23:AP24"/>
    <mergeCell ref="AQ23:BD24"/>
    <mergeCell ref="BE23:BR24"/>
    <mergeCell ref="B24:AK24"/>
    <mergeCell ref="B25:AK25"/>
    <mergeCell ref="AL25:AP25"/>
    <mergeCell ref="AQ25:BD25"/>
    <mergeCell ref="BE25:BR25"/>
    <mergeCell ref="B26:AK26"/>
    <mergeCell ref="AL26:AP26"/>
    <mergeCell ref="AQ26:BD26"/>
    <mergeCell ref="BE26:BR26"/>
    <mergeCell ref="B27:AK27"/>
    <mergeCell ref="AL27:AP27"/>
    <mergeCell ref="AQ27:BD27"/>
    <mergeCell ref="BE27:BR27"/>
    <mergeCell ref="B28:AK28"/>
    <mergeCell ref="AL28:AP29"/>
    <mergeCell ref="AQ28:AQ29"/>
    <mergeCell ref="AR28:BC29"/>
    <mergeCell ref="B29:AK29"/>
    <mergeCell ref="BD28:BD29"/>
    <mergeCell ref="BE28:BE29"/>
    <mergeCell ref="BF28:BQ29"/>
    <mergeCell ref="BR28:BR29"/>
    <mergeCell ref="B30:AK30"/>
    <mergeCell ref="AL30:AP30"/>
    <mergeCell ref="AR30:BC30"/>
    <mergeCell ref="BF30:BQ30"/>
    <mergeCell ref="B31:AK31"/>
    <mergeCell ref="AL31:AP31"/>
    <mergeCell ref="AR31:BC31"/>
    <mergeCell ref="BF31:BQ31"/>
  </mergeCells>
  <printOptions/>
  <pageMargins left="0.75" right="0.4" top="0.47" bottom="1" header="0.47" footer="0.5"/>
  <pageSetup horizontalDpi="600" verticalDpi="600" orientation="portrait" paperSize="9" scale="97" r:id="rId1"/>
  <colBreaks count="1" manualBreakCount="1">
    <brk id="7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50"/>
  <sheetViews>
    <sheetView zoomScale="130" zoomScaleNormal="130" workbookViewId="0" topLeftCell="A1">
      <selection activeCell="AO25" sqref="AO25:AX25"/>
    </sheetView>
  </sheetViews>
  <sheetFormatPr defaultColWidth="9.00390625" defaultRowHeight="12.75"/>
  <cols>
    <col min="1" max="70" width="1.25" style="31" customWidth="1"/>
    <col min="71" max="16384" width="9.125" style="30" customWidth="1"/>
  </cols>
  <sheetData>
    <row r="2" spans="2:70" ht="12.75">
      <c r="B2" s="32"/>
      <c r="C2" s="32"/>
      <c r="BI2" s="328" t="s">
        <v>271</v>
      </c>
      <c r="BJ2" s="329"/>
      <c r="BK2" s="329"/>
      <c r="BL2" s="329"/>
      <c r="BM2" s="329"/>
      <c r="BN2" s="329"/>
      <c r="BO2" s="329"/>
      <c r="BP2" s="329"/>
      <c r="BQ2" s="330"/>
      <c r="BR2" s="37"/>
    </row>
    <row r="3" spans="2:70" ht="12.75">
      <c r="B3" s="331" t="s">
        <v>114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2"/>
      <c r="BJ3" s="332"/>
      <c r="BK3" s="332"/>
      <c r="BL3" s="333"/>
      <c r="BM3" s="333"/>
      <c r="BN3" s="333"/>
      <c r="BO3" s="285"/>
      <c r="BP3" s="285"/>
      <c r="BQ3" s="285"/>
      <c r="BR3" s="37"/>
    </row>
    <row r="4" spans="2:70" ht="12.75">
      <c r="B4" s="334" t="s">
        <v>116</v>
      </c>
      <c r="C4" s="334"/>
      <c r="D4" s="334"/>
      <c r="E4" s="334"/>
      <c r="F4" s="334"/>
      <c r="G4" s="334"/>
      <c r="H4" s="334"/>
      <c r="I4" s="334"/>
      <c r="J4" s="33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Z4" s="334" t="s">
        <v>117</v>
      </c>
      <c r="BA4" s="334"/>
      <c r="BB4" s="334"/>
      <c r="BC4" s="334"/>
      <c r="BD4" s="334"/>
      <c r="BE4" s="334"/>
      <c r="BF4" s="334"/>
      <c r="BG4" s="334"/>
      <c r="BH4" s="336"/>
      <c r="BI4" s="337"/>
      <c r="BJ4" s="338"/>
      <c r="BK4" s="338"/>
      <c r="BL4" s="338"/>
      <c r="BM4" s="338"/>
      <c r="BN4" s="338"/>
      <c r="BO4" s="338"/>
      <c r="BP4" s="338"/>
      <c r="BQ4" s="339"/>
      <c r="BR4" s="58"/>
    </row>
    <row r="5" spans="10:49" ht="12.75">
      <c r="J5" s="34"/>
      <c r="K5" s="323" t="s">
        <v>205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</row>
    <row r="7" spans="2:70" ht="15.75">
      <c r="B7" s="461" t="s">
        <v>250</v>
      </c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59"/>
    </row>
    <row r="8" spans="2:70" ht="15.75">
      <c r="B8" s="461" t="s">
        <v>231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  <c r="BC8" s="461"/>
      <c r="BD8" s="461"/>
      <c r="BE8" s="461"/>
      <c r="BF8" s="461"/>
      <c r="BG8" s="461"/>
      <c r="BH8" s="461"/>
      <c r="BI8" s="461"/>
      <c r="BJ8" s="461"/>
      <c r="BK8" s="461"/>
      <c r="BL8" s="461"/>
      <c r="BM8" s="461"/>
      <c r="BN8" s="461"/>
      <c r="BO8" s="461"/>
      <c r="BP8" s="461"/>
      <c r="BQ8" s="461"/>
      <c r="BR8" s="59"/>
    </row>
    <row r="10" spans="41:70" ht="12.75">
      <c r="AO10" s="462" t="s">
        <v>298</v>
      </c>
      <c r="AP10" s="462"/>
      <c r="AQ10" s="462"/>
      <c r="AR10" s="462"/>
      <c r="AS10" s="462"/>
      <c r="AT10" s="462"/>
      <c r="AU10" s="462"/>
      <c r="AV10" s="462"/>
      <c r="AW10" s="462"/>
      <c r="AX10" s="462"/>
      <c r="AY10" s="463" t="s">
        <v>132</v>
      </c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4"/>
      <c r="BK10" s="343">
        <v>1801006</v>
      </c>
      <c r="BL10" s="283"/>
      <c r="BM10" s="283"/>
      <c r="BN10" s="283"/>
      <c r="BO10" s="283"/>
      <c r="BP10" s="283"/>
      <c r="BQ10" s="283"/>
      <c r="BR10" s="357"/>
    </row>
    <row r="12" spans="1:70" ht="12.75">
      <c r="A12" s="58"/>
      <c r="B12" s="465" t="s">
        <v>209</v>
      </c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7"/>
      <c r="AA12" s="465" t="s">
        <v>134</v>
      </c>
      <c r="AB12" s="466"/>
      <c r="AC12" s="466"/>
      <c r="AD12" s="467"/>
      <c r="AE12" s="285" t="s">
        <v>210</v>
      </c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 t="s">
        <v>273</v>
      </c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</row>
    <row r="13" spans="1:70" ht="12.75">
      <c r="A13" s="58"/>
      <c r="B13" s="468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469"/>
      <c r="AA13" s="468"/>
      <c r="AB13" s="335"/>
      <c r="AC13" s="335"/>
      <c r="AD13" s="469"/>
      <c r="AE13" s="285" t="s">
        <v>251</v>
      </c>
      <c r="AF13" s="285"/>
      <c r="AG13" s="285"/>
      <c r="AH13" s="285"/>
      <c r="AI13" s="285"/>
      <c r="AJ13" s="285"/>
      <c r="AK13" s="285"/>
      <c r="AL13" s="285"/>
      <c r="AM13" s="285"/>
      <c r="AN13" s="285"/>
      <c r="AO13" s="285" t="s">
        <v>252</v>
      </c>
      <c r="AP13" s="285"/>
      <c r="AQ13" s="285"/>
      <c r="AR13" s="285"/>
      <c r="AS13" s="285"/>
      <c r="AT13" s="285"/>
      <c r="AU13" s="285"/>
      <c r="AV13" s="285"/>
      <c r="AW13" s="285"/>
      <c r="AX13" s="285"/>
      <c r="AY13" s="285" t="s">
        <v>251</v>
      </c>
      <c r="AZ13" s="285"/>
      <c r="BA13" s="285"/>
      <c r="BB13" s="285"/>
      <c r="BC13" s="285"/>
      <c r="BD13" s="285"/>
      <c r="BE13" s="285"/>
      <c r="BF13" s="285"/>
      <c r="BG13" s="285"/>
      <c r="BH13" s="285"/>
      <c r="BI13" s="285" t="s">
        <v>252</v>
      </c>
      <c r="BJ13" s="285"/>
      <c r="BK13" s="285"/>
      <c r="BL13" s="285"/>
      <c r="BM13" s="285"/>
      <c r="BN13" s="285"/>
      <c r="BO13" s="285"/>
      <c r="BP13" s="285"/>
      <c r="BQ13" s="285"/>
      <c r="BR13" s="285"/>
    </row>
    <row r="14" spans="1:70" ht="14.25" customHeight="1">
      <c r="A14" s="58"/>
      <c r="B14" s="406">
        <v>1</v>
      </c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285">
        <v>2</v>
      </c>
      <c r="AB14" s="285"/>
      <c r="AC14" s="285"/>
      <c r="AD14" s="285"/>
      <c r="AE14" s="330">
        <v>3</v>
      </c>
      <c r="AF14" s="285"/>
      <c r="AG14" s="285"/>
      <c r="AH14" s="285"/>
      <c r="AI14" s="285"/>
      <c r="AJ14" s="285"/>
      <c r="AK14" s="285"/>
      <c r="AL14" s="285"/>
      <c r="AM14" s="285"/>
      <c r="AN14" s="285"/>
      <c r="AO14" s="285">
        <v>4</v>
      </c>
      <c r="AP14" s="285"/>
      <c r="AQ14" s="285"/>
      <c r="AR14" s="285"/>
      <c r="AS14" s="285"/>
      <c r="AT14" s="285"/>
      <c r="AU14" s="285"/>
      <c r="AV14" s="285"/>
      <c r="AW14" s="285"/>
      <c r="AX14" s="285"/>
      <c r="AY14" s="285">
        <v>5</v>
      </c>
      <c r="AZ14" s="285"/>
      <c r="BA14" s="285"/>
      <c r="BB14" s="285"/>
      <c r="BC14" s="285"/>
      <c r="BD14" s="285"/>
      <c r="BE14" s="285"/>
      <c r="BF14" s="285"/>
      <c r="BG14" s="285"/>
      <c r="BH14" s="285"/>
      <c r="BI14" s="285">
        <v>6</v>
      </c>
      <c r="BJ14" s="285"/>
      <c r="BK14" s="285"/>
      <c r="BL14" s="285"/>
      <c r="BM14" s="285"/>
      <c r="BN14" s="285"/>
      <c r="BO14" s="285"/>
      <c r="BP14" s="285"/>
      <c r="BQ14" s="285"/>
      <c r="BR14" s="285"/>
    </row>
    <row r="15" spans="1:70" ht="12.75" customHeight="1">
      <c r="A15" s="58"/>
      <c r="B15" s="399" t="s">
        <v>299</v>
      </c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1"/>
      <c r="AA15" s="449">
        <v>3500</v>
      </c>
      <c r="AB15" s="450"/>
      <c r="AC15" s="450"/>
      <c r="AD15" s="451"/>
      <c r="AE15" s="434"/>
      <c r="AF15" s="435"/>
      <c r="AG15" s="435"/>
      <c r="AH15" s="435"/>
      <c r="AI15" s="435"/>
      <c r="AJ15" s="435"/>
      <c r="AK15" s="435"/>
      <c r="AL15" s="435"/>
      <c r="AM15" s="435"/>
      <c r="AN15" s="436"/>
      <c r="AO15" s="440"/>
      <c r="AP15" s="441"/>
      <c r="AQ15" s="441"/>
      <c r="AR15" s="441"/>
      <c r="AS15" s="441"/>
      <c r="AT15" s="441"/>
      <c r="AU15" s="441"/>
      <c r="AV15" s="441"/>
      <c r="AW15" s="441"/>
      <c r="AX15" s="442"/>
      <c r="AY15" s="434"/>
      <c r="AZ15" s="435"/>
      <c r="BA15" s="435"/>
      <c r="BB15" s="435"/>
      <c r="BC15" s="435"/>
      <c r="BD15" s="435"/>
      <c r="BE15" s="435"/>
      <c r="BF15" s="435"/>
      <c r="BG15" s="435"/>
      <c r="BH15" s="436"/>
      <c r="BI15" s="440"/>
      <c r="BJ15" s="441"/>
      <c r="BK15" s="441"/>
      <c r="BL15" s="441"/>
      <c r="BM15" s="441"/>
      <c r="BN15" s="441"/>
      <c r="BO15" s="441"/>
      <c r="BP15" s="441"/>
      <c r="BQ15" s="441"/>
      <c r="BR15" s="442"/>
    </row>
    <row r="16" spans="1:70" ht="25.5" customHeight="1">
      <c r="A16" s="58"/>
      <c r="B16" s="470" t="s">
        <v>300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6"/>
      <c r="AA16" s="455"/>
      <c r="AB16" s="456"/>
      <c r="AC16" s="456"/>
      <c r="AD16" s="457"/>
      <c r="AE16" s="437"/>
      <c r="AF16" s="438"/>
      <c r="AG16" s="438"/>
      <c r="AH16" s="438"/>
      <c r="AI16" s="438"/>
      <c r="AJ16" s="438"/>
      <c r="AK16" s="438"/>
      <c r="AL16" s="438"/>
      <c r="AM16" s="438"/>
      <c r="AN16" s="439"/>
      <c r="AO16" s="443"/>
      <c r="AP16" s="444"/>
      <c r="AQ16" s="444"/>
      <c r="AR16" s="444"/>
      <c r="AS16" s="444"/>
      <c r="AT16" s="444"/>
      <c r="AU16" s="444"/>
      <c r="AV16" s="444"/>
      <c r="AW16" s="444"/>
      <c r="AX16" s="445"/>
      <c r="AY16" s="437"/>
      <c r="AZ16" s="438"/>
      <c r="BA16" s="438"/>
      <c r="BB16" s="438"/>
      <c r="BC16" s="438"/>
      <c r="BD16" s="438"/>
      <c r="BE16" s="438"/>
      <c r="BF16" s="438"/>
      <c r="BG16" s="438"/>
      <c r="BH16" s="439"/>
      <c r="BI16" s="443"/>
      <c r="BJ16" s="444"/>
      <c r="BK16" s="444"/>
      <c r="BL16" s="444"/>
      <c r="BM16" s="444"/>
      <c r="BN16" s="444"/>
      <c r="BO16" s="444"/>
      <c r="BP16" s="444"/>
      <c r="BQ16" s="444"/>
      <c r="BR16" s="445"/>
    </row>
    <row r="17" spans="1:70" ht="12.75" customHeight="1">
      <c r="A17" s="58"/>
      <c r="B17" s="458" t="s">
        <v>301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60"/>
      <c r="AA17" s="449">
        <v>3505</v>
      </c>
      <c r="AB17" s="450"/>
      <c r="AC17" s="450"/>
      <c r="AD17" s="451"/>
      <c r="AE17" s="434"/>
      <c r="AF17" s="435"/>
      <c r="AG17" s="435"/>
      <c r="AH17" s="435"/>
      <c r="AI17" s="435"/>
      <c r="AJ17" s="435"/>
      <c r="AK17" s="435"/>
      <c r="AL17" s="435"/>
      <c r="AM17" s="435"/>
      <c r="AN17" s="436"/>
      <c r="AO17" s="434" t="s">
        <v>253</v>
      </c>
      <c r="AP17" s="435"/>
      <c r="AQ17" s="435"/>
      <c r="AR17" s="435"/>
      <c r="AS17" s="435"/>
      <c r="AT17" s="435"/>
      <c r="AU17" s="435"/>
      <c r="AV17" s="435"/>
      <c r="AW17" s="435"/>
      <c r="AX17" s="436"/>
      <c r="AY17" s="434"/>
      <c r="AZ17" s="435"/>
      <c r="BA17" s="435"/>
      <c r="BB17" s="435"/>
      <c r="BC17" s="435"/>
      <c r="BD17" s="435"/>
      <c r="BE17" s="435"/>
      <c r="BF17" s="435"/>
      <c r="BG17" s="435"/>
      <c r="BH17" s="436"/>
      <c r="BI17" s="434" t="s">
        <v>253</v>
      </c>
      <c r="BJ17" s="435"/>
      <c r="BK17" s="435"/>
      <c r="BL17" s="435"/>
      <c r="BM17" s="435"/>
      <c r="BN17" s="435"/>
      <c r="BO17" s="435"/>
      <c r="BP17" s="435"/>
      <c r="BQ17" s="435"/>
      <c r="BR17" s="436"/>
    </row>
    <row r="18" spans="1:70" ht="12.75" customHeight="1">
      <c r="A18" s="58"/>
      <c r="B18" s="309" t="s">
        <v>302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1"/>
      <c r="AA18" s="455"/>
      <c r="AB18" s="456"/>
      <c r="AC18" s="456"/>
      <c r="AD18" s="457"/>
      <c r="AE18" s="437"/>
      <c r="AF18" s="438"/>
      <c r="AG18" s="438"/>
      <c r="AH18" s="438"/>
      <c r="AI18" s="438"/>
      <c r="AJ18" s="438"/>
      <c r="AK18" s="438"/>
      <c r="AL18" s="438"/>
      <c r="AM18" s="438"/>
      <c r="AN18" s="439"/>
      <c r="AO18" s="437"/>
      <c r="AP18" s="438"/>
      <c r="AQ18" s="438"/>
      <c r="AR18" s="438"/>
      <c r="AS18" s="438"/>
      <c r="AT18" s="438"/>
      <c r="AU18" s="438"/>
      <c r="AV18" s="438"/>
      <c r="AW18" s="438"/>
      <c r="AX18" s="439"/>
      <c r="AY18" s="437"/>
      <c r="AZ18" s="438"/>
      <c r="BA18" s="438"/>
      <c r="BB18" s="438"/>
      <c r="BC18" s="438"/>
      <c r="BD18" s="438"/>
      <c r="BE18" s="438"/>
      <c r="BF18" s="438"/>
      <c r="BG18" s="438"/>
      <c r="BH18" s="439"/>
      <c r="BI18" s="437"/>
      <c r="BJ18" s="438"/>
      <c r="BK18" s="438"/>
      <c r="BL18" s="438"/>
      <c r="BM18" s="438"/>
      <c r="BN18" s="438"/>
      <c r="BO18" s="438"/>
      <c r="BP18" s="438"/>
      <c r="BQ18" s="438"/>
      <c r="BR18" s="439"/>
    </row>
    <row r="19" spans="1:70" ht="26.25" customHeight="1">
      <c r="A19" s="58"/>
      <c r="B19" s="309" t="s">
        <v>303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1"/>
      <c r="AA19" s="431">
        <v>3510</v>
      </c>
      <c r="AB19" s="431"/>
      <c r="AC19" s="431"/>
      <c r="AD19" s="431"/>
      <c r="AE19" s="432"/>
      <c r="AF19" s="346"/>
      <c r="AG19" s="346"/>
      <c r="AH19" s="346"/>
      <c r="AI19" s="346"/>
      <c r="AJ19" s="346"/>
      <c r="AK19" s="346"/>
      <c r="AL19" s="346"/>
      <c r="AM19" s="346"/>
      <c r="AN19" s="346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</row>
    <row r="20" spans="1:70" ht="26.25" customHeight="1">
      <c r="A20" s="58"/>
      <c r="B20" s="471" t="s">
        <v>304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3"/>
      <c r="AA20" s="431">
        <v>3515</v>
      </c>
      <c r="AB20" s="431"/>
      <c r="AC20" s="431"/>
      <c r="AD20" s="431"/>
      <c r="AE20" s="432"/>
      <c r="AF20" s="346"/>
      <c r="AG20" s="346"/>
      <c r="AH20" s="346"/>
      <c r="AI20" s="346"/>
      <c r="AJ20" s="346"/>
      <c r="AK20" s="346"/>
      <c r="AL20" s="346"/>
      <c r="AM20" s="346"/>
      <c r="AN20" s="346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</row>
    <row r="21" spans="1:70" ht="36.75" customHeight="1">
      <c r="A21" s="58"/>
      <c r="B21" s="474" t="s">
        <v>305</v>
      </c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6"/>
      <c r="AA21" s="431">
        <v>3520</v>
      </c>
      <c r="AB21" s="431"/>
      <c r="AC21" s="431"/>
      <c r="AD21" s="431"/>
      <c r="AE21" s="432"/>
      <c r="AF21" s="346"/>
      <c r="AG21" s="346"/>
      <c r="AH21" s="346"/>
      <c r="AI21" s="346"/>
      <c r="AJ21" s="346"/>
      <c r="AK21" s="346"/>
      <c r="AL21" s="346"/>
      <c r="AM21" s="346"/>
      <c r="AN21" s="346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</row>
    <row r="22" spans="1:70" ht="26.25" customHeight="1">
      <c r="A22" s="58"/>
      <c r="B22" s="281" t="s">
        <v>254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431">
        <v>3550</v>
      </c>
      <c r="AB22" s="431"/>
      <c r="AC22" s="431"/>
      <c r="AD22" s="431"/>
      <c r="AE22" s="432"/>
      <c r="AF22" s="346"/>
      <c r="AG22" s="346"/>
      <c r="AH22" s="346"/>
      <c r="AI22" s="346"/>
      <c r="AJ22" s="346"/>
      <c r="AK22" s="346"/>
      <c r="AL22" s="346"/>
      <c r="AM22" s="346"/>
      <c r="AN22" s="346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</row>
    <row r="23" spans="1:70" ht="26.25" customHeight="1">
      <c r="A23" s="58"/>
      <c r="B23" s="281" t="s">
        <v>306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431">
        <v>3560</v>
      </c>
      <c r="AB23" s="431"/>
      <c r="AC23" s="431"/>
      <c r="AD23" s="431"/>
      <c r="AE23" s="432"/>
      <c r="AF23" s="346"/>
      <c r="AG23" s="346"/>
      <c r="AH23" s="346"/>
      <c r="AI23" s="346"/>
      <c r="AJ23" s="346"/>
      <c r="AK23" s="346"/>
      <c r="AL23" s="346"/>
      <c r="AM23" s="346"/>
      <c r="AN23" s="346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</row>
    <row r="24" spans="1:70" ht="26.25" customHeight="1">
      <c r="A24" s="58"/>
      <c r="B24" s="477" t="s">
        <v>255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9"/>
      <c r="AA24" s="431">
        <v>3570</v>
      </c>
      <c r="AB24" s="431"/>
      <c r="AC24" s="431"/>
      <c r="AD24" s="431"/>
      <c r="AE24" s="432">
        <f>SUM(AE15:AN23)-AO19-AO20-AO21-AO22-AO23</f>
        <v>0</v>
      </c>
      <c r="AF24" s="346"/>
      <c r="AG24" s="346"/>
      <c r="AH24" s="346"/>
      <c r="AI24" s="346"/>
      <c r="AJ24" s="346"/>
      <c r="AK24" s="346"/>
      <c r="AL24" s="346"/>
      <c r="AM24" s="346"/>
      <c r="AN24" s="346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430"/>
      <c r="BJ24" s="430"/>
      <c r="BK24" s="430"/>
      <c r="BL24" s="430"/>
      <c r="BM24" s="430"/>
      <c r="BN24" s="430"/>
      <c r="BO24" s="430"/>
      <c r="BP24" s="430"/>
      <c r="BQ24" s="430"/>
      <c r="BR24" s="430"/>
    </row>
    <row r="25" spans="1:70" ht="12.75" customHeight="1">
      <c r="A25" s="58"/>
      <c r="B25" s="281" t="s">
        <v>256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431">
        <v>3580</v>
      </c>
      <c r="AB25" s="431"/>
      <c r="AC25" s="431"/>
      <c r="AD25" s="431"/>
      <c r="AE25" s="432" t="s">
        <v>253</v>
      </c>
      <c r="AF25" s="346"/>
      <c r="AG25" s="346"/>
      <c r="AH25" s="346"/>
      <c r="AI25" s="346"/>
      <c r="AJ25" s="346"/>
      <c r="AK25" s="346"/>
      <c r="AL25" s="346"/>
      <c r="AM25" s="346"/>
      <c r="AN25" s="346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346" t="s">
        <v>253</v>
      </c>
      <c r="AZ25" s="346"/>
      <c r="BA25" s="346"/>
      <c r="BB25" s="346"/>
      <c r="BC25" s="346"/>
      <c r="BD25" s="346"/>
      <c r="BE25" s="346"/>
      <c r="BF25" s="346"/>
      <c r="BG25" s="346"/>
      <c r="BH25" s="346"/>
      <c r="BI25" s="430"/>
      <c r="BJ25" s="430"/>
      <c r="BK25" s="430"/>
      <c r="BL25" s="430"/>
      <c r="BM25" s="430"/>
      <c r="BN25" s="430"/>
      <c r="BO25" s="430"/>
      <c r="BP25" s="430"/>
      <c r="BQ25" s="430"/>
      <c r="BR25" s="430"/>
    </row>
    <row r="26" spans="1:70" ht="12.75" customHeight="1">
      <c r="A26" s="58"/>
      <c r="B26" s="480" t="s">
        <v>237</v>
      </c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29">
        <v>3195</v>
      </c>
      <c r="AB26" s="429"/>
      <c r="AC26" s="429"/>
      <c r="AD26" s="429"/>
      <c r="AE26" s="432">
        <f>AE24-AO25</f>
        <v>0</v>
      </c>
      <c r="AF26" s="346"/>
      <c r="AG26" s="346"/>
      <c r="AH26" s="346"/>
      <c r="AI26" s="346"/>
      <c r="AJ26" s="346"/>
      <c r="AK26" s="346"/>
      <c r="AL26" s="346"/>
      <c r="AM26" s="346"/>
      <c r="AN26" s="346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</row>
    <row r="27" spans="1:70" ht="12.75" customHeight="1">
      <c r="A27" s="58"/>
      <c r="B27" s="399" t="s">
        <v>307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1"/>
      <c r="AA27" s="449">
        <v>3200</v>
      </c>
      <c r="AB27" s="450"/>
      <c r="AC27" s="450"/>
      <c r="AD27" s="451"/>
      <c r="AE27" s="434" t="s">
        <v>369</v>
      </c>
      <c r="AF27" s="435"/>
      <c r="AG27" s="435"/>
      <c r="AH27" s="435"/>
      <c r="AI27" s="435"/>
      <c r="AJ27" s="435"/>
      <c r="AK27" s="435"/>
      <c r="AL27" s="435"/>
      <c r="AM27" s="435"/>
      <c r="AN27" s="436"/>
      <c r="AO27" s="434" t="s">
        <v>253</v>
      </c>
      <c r="AP27" s="435"/>
      <c r="AQ27" s="435"/>
      <c r="AR27" s="435"/>
      <c r="AS27" s="435"/>
      <c r="AT27" s="435"/>
      <c r="AU27" s="435"/>
      <c r="AV27" s="435"/>
      <c r="AW27" s="435"/>
      <c r="AX27" s="436"/>
      <c r="AY27" s="434"/>
      <c r="AZ27" s="435"/>
      <c r="BA27" s="435"/>
      <c r="BB27" s="435"/>
      <c r="BC27" s="435"/>
      <c r="BD27" s="435"/>
      <c r="BE27" s="435"/>
      <c r="BF27" s="435"/>
      <c r="BG27" s="435"/>
      <c r="BH27" s="436"/>
      <c r="BI27" s="434" t="s">
        <v>253</v>
      </c>
      <c r="BJ27" s="435"/>
      <c r="BK27" s="435"/>
      <c r="BL27" s="435"/>
      <c r="BM27" s="435"/>
      <c r="BN27" s="435"/>
      <c r="BO27" s="435"/>
      <c r="BP27" s="435"/>
      <c r="BQ27" s="435"/>
      <c r="BR27" s="436"/>
    </row>
    <row r="28" spans="1:70" ht="12.75" customHeight="1">
      <c r="A28" s="58"/>
      <c r="B28" s="470" t="s">
        <v>308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6"/>
      <c r="AA28" s="452"/>
      <c r="AB28" s="453"/>
      <c r="AC28" s="453"/>
      <c r="AD28" s="454"/>
      <c r="AE28" s="446"/>
      <c r="AF28" s="447"/>
      <c r="AG28" s="447"/>
      <c r="AH28" s="447"/>
      <c r="AI28" s="447"/>
      <c r="AJ28" s="447"/>
      <c r="AK28" s="447"/>
      <c r="AL28" s="447"/>
      <c r="AM28" s="447"/>
      <c r="AN28" s="448"/>
      <c r="AO28" s="446"/>
      <c r="AP28" s="447"/>
      <c r="AQ28" s="447"/>
      <c r="AR28" s="447"/>
      <c r="AS28" s="447"/>
      <c r="AT28" s="447"/>
      <c r="AU28" s="447"/>
      <c r="AV28" s="447"/>
      <c r="AW28" s="447"/>
      <c r="AX28" s="448"/>
      <c r="AY28" s="446"/>
      <c r="AZ28" s="447"/>
      <c r="BA28" s="447"/>
      <c r="BB28" s="447"/>
      <c r="BC28" s="447"/>
      <c r="BD28" s="447"/>
      <c r="BE28" s="447"/>
      <c r="BF28" s="447"/>
      <c r="BG28" s="447"/>
      <c r="BH28" s="448"/>
      <c r="BI28" s="446"/>
      <c r="BJ28" s="447"/>
      <c r="BK28" s="447"/>
      <c r="BL28" s="447"/>
      <c r="BM28" s="447"/>
      <c r="BN28" s="447"/>
      <c r="BO28" s="447"/>
      <c r="BP28" s="447"/>
      <c r="BQ28" s="447"/>
      <c r="BR28" s="448"/>
    </row>
    <row r="29" spans="1:70" ht="12.75" customHeight="1">
      <c r="A29" s="58"/>
      <c r="B29" s="309" t="s">
        <v>238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1"/>
      <c r="AA29" s="455"/>
      <c r="AB29" s="456"/>
      <c r="AC29" s="456"/>
      <c r="AD29" s="457"/>
      <c r="AE29" s="437"/>
      <c r="AF29" s="438"/>
      <c r="AG29" s="438"/>
      <c r="AH29" s="438"/>
      <c r="AI29" s="438"/>
      <c r="AJ29" s="438"/>
      <c r="AK29" s="438"/>
      <c r="AL29" s="438"/>
      <c r="AM29" s="438"/>
      <c r="AN29" s="439"/>
      <c r="AO29" s="437"/>
      <c r="AP29" s="438"/>
      <c r="AQ29" s="438"/>
      <c r="AR29" s="438"/>
      <c r="AS29" s="438"/>
      <c r="AT29" s="438"/>
      <c r="AU29" s="438"/>
      <c r="AV29" s="438"/>
      <c r="AW29" s="438"/>
      <c r="AX29" s="439"/>
      <c r="AY29" s="437"/>
      <c r="AZ29" s="438"/>
      <c r="BA29" s="438"/>
      <c r="BB29" s="438"/>
      <c r="BC29" s="438"/>
      <c r="BD29" s="438"/>
      <c r="BE29" s="438"/>
      <c r="BF29" s="438"/>
      <c r="BG29" s="438"/>
      <c r="BH29" s="439"/>
      <c r="BI29" s="437"/>
      <c r="BJ29" s="438"/>
      <c r="BK29" s="438"/>
      <c r="BL29" s="438"/>
      <c r="BM29" s="438"/>
      <c r="BN29" s="438"/>
      <c r="BO29" s="438"/>
      <c r="BP29" s="438"/>
      <c r="BQ29" s="438"/>
      <c r="BR29" s="439"/>
    </row>
    <row r="30" spans="1:70" ht="12.75" customHeight="1">
      <c r="A30" s="58"/>
      <c r="B30" s="481" t="s">
        <v>239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31">
        <v>3205</v>
      </c>
      <c r="AB30" s="431"/>
      <c r="AC30" s="431"/>
      <c r="AD30" s="431"/>
      <c r="AE30" s="432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 t="s">
        <v>253</v>
      </c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 t="s">
        <v>253</v>
      </c>
      <c r="BJ30" s="346"/>
      <c r="BK30" s="346"/>
      <c r="BL30" s="346"/>
      <c r="BM30" s="346"/>
      <c r="BN30" s="346"/>
      <c r="BO30" s="346"/>
      <c r="BP30" s="346"/>
      <c r="BQ30" s="346"/>
      <c r="BR30" s="346"/>
    </row>
    <row r="31" spans="1:70" ht="12.75" customHeight="1">
      <c r="A31" s="58"/>
      <c r="B31" s="458" t="s">
        <v>240</v>
      </c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60"/>
      <c r="AA31" s="449">
        <v>3215</v>
      </c>
      <c r="AB31" s="450"/>
      <c r="AC31" s="450"/>
      <c r="AD31" s="451"/>
      <c r="AE31" s="434"/>
      <c r="AF31" s="435"/>
      <c r="AG31" s="435"/>
      <c r="AH31" s="435"/>
      <c r="AI31" s="435"/>
      <c r="AJ31" s="435"/>
      <c r="AK31" s="435"/>
      <c r="AL31" s="435"/>
      <c r="AM31" s="435"/>
      <c r="AN31" s="436"/>
      <c r="AO31" s="434" t="s">
        <v>253</v>
      </c>
      <c r="AP31" s="435"/>
      <c r="AQ31" s="435"/>
      <c r="AR31" s="435"/>
      <c r="AS31" s="435"/>
      <c r="AT31" s="435"/>
      <c r="AU31" s="435"/>
      <c r="AV31" s="435"/>
      <c r="AW31" s="435"/>
      <c r="AX31" s="436"/>
      <c r="AY31" s="434"/>
      <c r="AZ31" s="435"/>
      <c r="BA31" s="435"/>
      <c r="BB31" s="435"/>
      <c r="BC31" s="435"/>
      <c r="BD31" s="435"/>
      <c r="BE31" s="435"/>
      <c r="BF31" s="435"/>
      <c r="BG31" s="435"/>
      <c r="BH31" s="436"/>
      <c r="BI31" s="434" t="s">
        <v>253</v>
      </c>
      <c r="BJ31" s="435"/>
      <c r="BK31" s="435"/>
      <c r="BL31" s="435"/>
      <c r="BM31" s="435"/>
      <c r="BN31" s="435"/>
      <c r="BO31" s="435"/>
      <c r="BP31" s="435"/>
      <c r="BQ31" s="435"/>
      <c r="BR31" s="436"/>
    </row>
    <row r="32" spans="1:70" ht="12.75" customHeight="1">
      <c r="A32" s="58"/>
      <c r="B32" s="309" t="s">
        <v>241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1"/>
      <c r="AA32" s="455"/>
      <c r="AB32" s="456"/>
      <c r="AC32" s="456"/>
      <c r="AD32" s="457"/>
      <c r="AE32" s="437"/>
      <c r="AF32" s="438"/>
      <c r="AG32" s="438"/>
      <c r="AH32" s="438"/>
      <c r="AI32" s="438"/>
      <c r="AJ32" s="438"/>
      <c r="AK32" s="438"/>
      <c r="AL32" s="438"/>
      <c r="AM32" s="438"/>
      <c r="AN32" s="439"/>
      <c r="AO32" s="437"/>
      <c r="AP32" s="438"/>
      <c r="AQ32" s="438"/>
      <c r="AR32" s="438"/>
      <c r="AS32" s="438"/>
      <c r="AT32" s="438"/>
      <c r="AU32" s="438"/>
      <c r="AV32" s="438"/>
      <c r="AW32" s="438"/>
      <c r="AX32" s="439"/>
      <c r="AY32" s="437"/>
      <c r="AZ32" s="438"/>
      <c r="BA32" s="438"/>
      <c r="BB32" s="438"/>
      <c r="BC32" s="438"/>
      <c r="BD32" s="438"/>
      <c r="BE32" s="438"/>
      <c r="BF32" s="438"/>
      <c r="BG32" s="438"/>
      <c r="BH32" s="439"/>
      <c r="BI32" s="437"/>
      <c r="BJ32" s="438"/>
      <c r="BK32" s="438"/>
      <c r="BL32" s="438"/>
      <c r="BM32" s="438"/>
      <c r="BN32" s="438"/>
      <c r="BO32" s="438"/>
      <c r="BP32" s="438"/>
      <c r="BQ32" s="438"/>
      <c r="BR32" s="439"/>
    </row>
    <row r="33" spans="1:70" ht="12.75" customHeight="1">
      <c r="A33" s="58"/>
      <c r="B33" s="286" t="s">
        <v>242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431">
        <v>3220</v>
      </c>
      <c r="AB33" s="431"/>
      <c r="AC33" s="431"/>
      <c r="AD33" s="431"/>
      <c r="AE33" s="432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 t="s">
        <v>253</v>
      </c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 t="s">
        <v>253</v>
      </c>
      <c r="BJ33" s="346"/>
      <c r="BK33" s="346"/>
      <c r="BL33" s="346"/>
      <c r="BM33" s="346"/>
      <c r="BN33" s="346"/>
      <c r="BO33" s="346"/>
      <c r="BP33" s="346"/>
      <c r="BQ33" s="346"/>
      <c r="BR33" s="346"/>
    </row>
    <row r="34" spans="1:70" ht="12.75" customHeight="1">
      <c r="A34" s="58"/>
      <c r="B34" s="281" t="s">
        <v>243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431">
        <v>3225</v>
      </c>
      <c r="AB34" s="431"/>
      <c r="AC34" s="431"/>
      <c r="AD34" s="431"/>
      <c r="AE34" s="432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 t="s">
        <v>253</v>
      </c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 t="s">
        <v>253</v>
      </c>
      <c r="BJ34" s="346"/>
      <c r="BK34" s="346"/>
      <c r="BL34" s="346"/>
      <c r="BM34" s="346"/>
      <c r="BN34" s="346"/>
      <c r="BO34" s="346"/>
      <c r="BP34" s="346"/>
      <c r="BQ34" s="346"/>
      <c r="BR34" s="346"/>
    </row>
    <row r="35" spans="1:70" ht="12.75" customHeight="1">
      <c r="A35" s="58"/>
      <c r="B35" s="312" t="s">
        <v>309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431">
        <v>3250</v>
      </c>
      <c r="AB35" s="431"/>
      <c r="AC35" s="431"/>
      <c r="AD35" s="431"/>
      <c r="AE35" s="432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 t="s">
        <v>253</v>
      </c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 t="s">
        <v>253</v>
      </c>
      <c r="BJ35" s="346"/>
      <c r="BK35" s="346"/>
      <c r="BL35" s="346"/>
      <c r="BM35" s="346"/>
      <c r="BN35" s="346"/>
      <c r="BO35" s="346"/>
      <c r="BP35" s="346"/>
      <c r="BQ35" s="346"/>
      <c r="BR35" s="346"/>
    </row>
    <row r="36" spans="1:70" ht="12.75" customHeight="1">
      <c r="A36" s="58"/>
      <c r="B36" s="458" t="s">
        <v>310</v>
      </c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60"/>
      <c r="AA36" s="449">
        <v>3255</v>
      </c>
      <c r="AB36" s="450"/>
      <c r="AC36" s="450"/>
      <c r="AD36" s="451"/>
      <c r="AE36" s="434" t="s">
        <v>253</v>
      </c>
      <c r="AF36" s="435"/>
      <c r="AG36" s="435"/>
      <c r="AH36" s="435"/>
      <c r="AI36" s="435"/>
      <c r="AJ36" s="435"/>
      <c r="AK36" s="435"/>
      <c r="AL36" s="435"/>
      <c r="AM36" s="435"/>
      <c r="AN36" s="436"/>
      <c r="AO36" s="440"/>
      <c r="AP36" s="441"/>
      <c r="AQ36" s="441"/>
      <c r="AR36" s="441"/>
      <c r="AS36" s="441"/>
      <c r="AT36" s="441"/>
      <c r="AU36" s="441"/>
      <c r="AV36" s="441"/>
      <c r="AW36" s="441"/>
      <c r="AX36" s="442"/>
      <c r="AY36" s="434" t="s">
        <v>253</v>
      </c>
      <c r="AZ36" s="435"/>
      <c r="BA36" s="435"/>
      <c r="BB36" s="435"/>
      <c r="BC36" s="435"/>
      <c r="BD36" s="435"/>
      <c r="BE36" s="435"/>
      <c r="BF36" s="435"/>
      <c r="BG36" s="435"/>
      <c r="BH36" s="436"/>
      <c r="BI36" s="440"/>
      <c r="BJ36" s="441"/>
      <c r="BK36" s="441"/>
      <c r="BL36" s="441"/>
      <c r="BM36" s="441"/>
      <c r="BN36" s="441"/>
      <c r="BO36" s="441"/>
      <c r="BP36" s="441"/>
      <c r="BQ36" s="441"/>
      <c r="BR36" s="442"/>
    </row>
    <row r="37" spans="1:70" ht="12.75" customHeight="1">
      <c r="A37" s="58"/>
      <c r="B37" s="309" t="s">
        <v>238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1"/>
      <c r="AA37" s="455"/>
      <c r="AB37" s="456"/>
      <c r="AC37" s="456"/>
      <c r="AD37" s="457"/>
      <c r="AE37" s="437"/>
      <c r="AF37" s="438"/>
      <c r="AG37" s="438"/>
      <c r="AH37" s="438"/>
      <c r="AI37" s="438"/>
      <c r="AJ37" s="438"/>
      <c r="AK37" s="438"/>
      <c r="AL37" s="438"/>
      <c r="AM37" s="438"/>
      <c r="AN37" s="439"/>
      <c r="AO37" s="443"/>
      <c r="AP37" s="444"/>
      <c r="AQ37" s="444"/>
      <c r="AR37" s="444"/>
      <c r="AS37" s="444"/>
      <c r="AT37" s="444"/>
      <c r="AU37" s="444"/>
      <c r="AV37" s="444"/>
      <c r="AW37" s="444"/>
      <c r="AX37" s="445"/>
      <c r="AY37" s="437"/>
      <c r="AZ37" s="438"/>
      <c r="BA37" s="438"/>
      <c r="BB37" s="438"/>
      <c r="BC37" s="438"/>
      <c r="BD37" s="438"/>
      <c r="BE37" s="438"/>
      <c r="BF37" s="438"/>
      <c r="BG37" s="438"/>
      <c r="BH37" s="439"/>
      <c r="BI37" s="443"/>
      <c r="BJ37" s="444"/>
      <c r="BK37" s="444"/>
      <c r="BL37" s="444"/>
      <c r="BM37" s="444"/>
      <c r="BN37" s="444"/>
      <c r="BO37" s="444"/>
      <c r="BP37" s="444"/>
      <c r="BQ37" s="444"/>
      <c r="BR37" s="445"/>
    </row>
    <row r="38" spans="1:70" ht="12.75" customHeight="1">
      <c r="A38" s="58"/>
      <c r="B38" s="286" t="s">
        <v>239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431">
        <v>3260</v>
      </c>
      <c r="AB38" s="431"/>
      <c r="AC38" s="431"/>
      <c r="AD38" s="431"/>
      <c r="AE38" s="432" t="s">
        <v>253</v>
      </c>
      <c r="AF38" s="346"/>
      <c r="AG38" s="346"/>
      <c r="AH38" s="346"/>
      <c r="AI38" s="346"/>
      <c r="AJ38" s="346"/>
      <c r="AK38" s="346"/>
      <c r="AL38" s="346"/>
      <c r="AM38" s="346"/>
      <c r="AN38" s="346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346" t="s">
        <v>253</v>
      </c>
      <c r="AZ38" s="346"/>
      <c r="BA38" s="346"/>
      <c r="BB38" s="346"/>
      <c r="BC38" s="346"/>
      <c r="BD38" s="346"/>
      <c r="BE38" s="346"/>
      <c r="BF38" s="346"/>
      <c r="BG38" s="346"/>
      <c r="BH38" s="346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</row>
    <row r="39" spans="1:70" ht="12.75" customHeight="1">
      <c r="A39" s="58"/>
      <c r="B39" s="281" t="s">
        <v>244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431">
        <v>3270</v>
      </c>
      <c r="AB39" s="431"/>
      <c r="AC39" s="431"/>
      <c r="AD39" s="431"/>
      <c r="AE39" s="432" t="s">
        <v>253</v>
      </c>
      <c r="AF39" s="346"/>
      <c r="AG39" s="346"/>
      <c r="AH39" s="346"/>
      <c r="AI39" s="346"/>
      <c r="AJ39" s="346"/>
      <c r="AK39" s="346"/>
      <c r="AL39" s="346"/>
      <c r="AM39" s="346"/>
      <c r="AN39" s="346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346" t="s">
        <v>253</v>
      </c>
      <c r="AZ39" s="346"/>
      <c r="BA39" s="346"/>
      <c r="BB39" s="346"/>
      <c r="BC39" s="346"/>
      <c r="BD39" s="346"/>
      <c r="BE39" s="346"/>
      <c r="BF39" s="346"/>
      <c r="BG39" s="346"/>
      <c r="BH39" s="346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12.75" customHeight="1">
      <c r="A40" s="58"/>
      <c r="B40" s="281" t="s">
        <v>245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431">
        <v>3290</v>
      </c>
      <c r="AB40" s="431"/>
      <c r="AC40" s="431"/>
      <c r="AD40" s="431"/>
      <c r="AE40" s="432" t="s">
        <v>253</v>
      </c>
      <c r="AF40" s="346"/>
      <c r="AG40" s="346"/>
      <c r="AH40" s="346"/>
      <c r="AI40" s="346"/>
      <c r="AJ40" s="346"/>
      <c r="AK40" s="346"/>
      <c r="AL40" s="346"/>
      <c r="AM40" s="346"/>
      <c r="AN40" s="346"/>
      <c r="AO40" s="430"/>
      <c r="AP40" s="430"/>
      <c r="AQ40" s="430"/>
      <c r="AR40" s="430"/>
      <c r="AS40" s="430"/>
      <c r="AT40" s="430"/>
      <c r="AU40" s="430"/>
      <c r="AV40" s="430"/>
      <c r="AW40" s="430"/>
      <c r="AX40" s="430"/>
      <c r="AY40" s="346" t="s">
        <v>253</v>
      </c>
      <c r="AZ40" s="346"/>
      <c r="BA40" s="346"/>
      <c r="BB40" s="346"/>
      <c r="BC40" s="346"/>
      <c r="BD40" s="346"/>
      <c r="BE40" s="346"/>
      <c r="BF40" s="346"/>
      <c r="BG40" s="346"/>
      <c r="BH40" s="346"/>
      <c r="BI40" s="430"/>
      <c r="BJ40" s="430"/>
      <c r="BK40" s="430"/>
      <c r="BL40" s="430"/>
      <c r="BM40" s="430"/>
      <c r="BN40" s="430"/>
      <c r="BO40" s="430"/>
      <c r="BP40" s="430"/>
      <c r="BQ40" s="430"/>
      <c r="BR40" s="430"/>
    </row>
    <row r="41" spans="1:70" ht="12.75" customHeight="1">
      <c r="A41" s="58"/>
      <c r="B41" s="278" t="s">
        <v>246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429">
        <v>3295</v>
      </c>
      <c r="AB41" s="429"/>
      <c r="AC41" s="429"/>
      <c r="AD41" s="429"/>
      <c r="AE41" s="432"/>
      <c r="AF41" s="346"/>
      <c r="AG41" s="346"/>
      <c r="AH41" s="346"/>
      <c r="AI41" s="346"/>
      <c r="AJ41" s="346"/>
      <c r="AK41" s="346"/>
      <c r="AL41" s="346"/>
      <c r="AM41" s="346"/>
      <c r="AN41" s="346"/>
      <c r="AO41" s="482">
        <v>15</v>
      </c>
      <c r="AP41" s="483"/>
      <c r="AQ41" s="483"/>
      <c r="AR41" s="483"/>
      <c r="AS41" s="483"/>
      <c r="AT41" s="483"/>
      <c r="AU41" s="483"/>
      <c r="AV41" s="483"/>
      <c r="AW41" s="483"/>
      <c r="AX41" s="484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430"/>
      <c r="BJ41" s="430"/>
      <c r="BK41" s="430"/>
      <c r="BL41" s="430"/>
      <c r="BM41" s="430"/>
      <c r="BN41" s="430"/>
      <c r="BO41" s="430"/>
      <c r="BP41" s="430"/>
      <c r="BQ41" s="430"/>
      <c r="BR41" s="430"/>
    </row>
    <row r="42" spans="1:70" ht="12.75" customHeight="1">
      <c r="A42" s="58"/>
      <c r="B42" s="399" t="s">
        <v>311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1"/>
      <c r="AA42" s="449">
        <v>3300</v>
      </c>
      <c r="AB42" s="450"/>
      <c r="AC42" s="450"/>
      <c r="AD42" s="451"/>
      <c r="AE42" s="434"/>
      <c r="AF42" s="435"/>
      <c r="AG42" s="435"/>
      <c r="AH42" s="435"/>
      <c r="AI42" s="435"/>
      <c r="AJ42" s="435"/>
      <c r="AK42" s="435"/>
      <c r="AL42" s="435"/>
      <c r="AM42" s="435"/>
      <c r="AN42" s="436"/>
      <c r="AO42" s="434" t="s">
        <v>253</v>
      </c>
      <c r="AP42" s="435"/>
      <c r="AQ42" s="435"/>
      <c r="AR42" s="435"/>
      <c r="AS42" s="435"/>
      <c r="AT42" s="435"/>
      <c r="AU42" s="435"/>
      <c r="AV42" s="435"/>
      <c r="AW42" s="435"/>
      <c r="AX42" s="436"/>
      <c r="AY42" s="434"/>
      <c r="AZ42" s="435"/>
      <c r="BA42" s="435"/>
      <c r="BB42" s="435"/>
      <c r="BC42" s="435"/>
      <c r="BD42" s="435"/>
      <c r="BE42" s="435"/>
      <c r="BF42" s="435"/>
      <c r="BG42" s="435"/>
      <c r="BH42" s="436"/>
      <c r="BI42" s="434" t="s">
        <v>253</v>
      </c>
      <c r="BJ42" s="435"/>
      <c r="BK42" s="435"/>
      <c r="BL42" s="435"/>
      <c r="BM42" s="435"/>
      <c r="BN42" s="435"/>
      <c r="BO42" s="435"/>
      <c r="BP42" s="435"/>
      <c r="BQ42" s="435"/>
      <c r="BR42" s="436"/>
    </row>
    <row r="43" spans="1:70" ht="12.75" customHeight="1">
      <c r="A43" s="58"/>
      <c r="B43" s="470" t="s">
        <v>312</v>
      </c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6"/>
      <c r="AA43" s="452"/>
      <c r="AB43" s="453"/>
      <c r="AC43" s="453"/>
      <c r="AD43" s="454"/>
      <c r="AE43" s="446"/>
      <c r="AF43" s="447"/>
      <c r="AG43" s="447"/>
      <c r="AH43" s="447"/>
      <c r="AI43" s="447"/>
      <c r="AJ43" s="447"/>
      <c r="AK43" s="447"/>
      <c r="AL43" s="447"/>
      <c r="AM43" s="447"/>
      <c r="AN43" s="448"/>
      <c r="AO43" s="446"/>
      <c r="AP43" s="447"/>
      <c r="AQ43" s="447"/>
      <c r="AR43" s="447"/>
      <c r="AS43" s="447"/>
      <c r="AT43" s="447"/>
      <c r="AU43" s="447"/>
      <c r="AV43" s="447"/>
      <c r="AW43" s="447"/>
      <c r="AX43" s="448"/>
      <c r="AY43" s="446"/>
      <c r="AZ43" s="447"/>
      <c r="BA43" s="447"/>
      <c r="BB43" s="447"/>
      <c r="BC43" s="447"/>
      <c r="BD43" s="447"/>
      <c r="BE43" s="447"/>
      <c r="BF43" s="447"/>
      <c r="BG43" s="447"/>
      <c r="BH43" s="448"/>
      <c r="BI43" s="446"/>
      <c r="BJ43" s="447"/>
      <c r="BK43" s="447"/>
      <c r="BL43" s="447"/>
      <c r="BM43" s="447"/>
      <c r="BN43" s="447"/>
      <c r="BO43" s="447"/>
      <c r="BP43" s="447"/>
      <c r="BQ43" s="447"/>
      <c r="BR43" s="448"/>
    </row>
    <row r="44" spans="1:70" ht="12.75" customHeight="1">
      <c r="A44" s="58"/>
      <c r="B44" s="403" t="s">
        <v>313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5"/>
      <c r="AA44" s="455"/>
      <c r="AB44" s="456"/>
      <c r="AC44" s="456"/>
      <c r="AD44" s="457"/>
      <c r="AE44" s="437"/>
      <c r="AF44" s="438"/>
      <c r="AG44" s="438"/>
      <c r="AH44" s="438"/>
      <c r="AI44" s="438"/>
      <c r="AJ44" s="438"/>
      <c r="AK44" s="438"/>
      <c r="AL44" s="438"/>
      <c r="AM44" s="438"/>
      <c r="AN44" s="439"/>
      <c r="AO44" s="437"/>
      <c r="AP44" s="438"/>
      <c r="AQ44" s="438"/>
      <c r="AR44" s="438"/>
      <c r="AS44" s="438"/>
      <c r="AT44" s="438"/>
      <c r="AU44" s="438"/>
      <c r="AV44" s="438"/>
      <c r="AW44" s="438"/>
      <c r="AX44" s="439"/>
      <c r="AY44" s="437"/>
      <c r="AZ44" s="438"/>
      <c r="BA44" s="438"/>
      <c r="BB44" s="438"/>
      <c r="BC44" s="438"/>
      <c r="BD44" s="438"/>
      <c r="BE44" s="438"/>
      <c r="BF44" s="438"/>
      <c r="BG44" s="438"/>
      <c r="BH44" s="439"/>
      <c r="BI44" s="437"/>
      <c r="BJ44" s="438"/>
      <c r="BK44" s="438"/>
      <c r="BL44" s="438"/>
      <c r="BM44" s="438"/>
      <c r="BN44" s="438"/>
      <c r="BO44" s="438"/>
      <c r="BP44" s="438"/>
      <c r="BQ44" s="438"/>
      <c r="BR44" s="439"/>
    </row>
    <row r="45" spans="1:70" ht="12.75" customHeight="1">
      <c r="A45" s="58"/>
      <c r="B45" s="281" t="s">
        <v>247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431">
        <v>3305</v>
      </c>
      <c r="AB45" s="431"/>
      <c r="AC45" s="431"/>
      <c r="AD45" s="431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 t="s">
        <v>253</v>
      </c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 t="s">
        <v>253</v>
      </c>
      <c r="BJ45" s="346"/>
      <c r="BK45" s="346"/>
      <c r="BL45" s="346"/>
      <c r="BM45" s="346"/>
      <c r="BN45" s="346"/>
      <c r="BO45" s="346"/>
      <c r="BP45" s="346"/>
      <c r="BQ45" s="346"/>
      <c r="BR45" s="346"/>
    </row>
    <row r="46" spans="1:70" ht="12.75" customHeight="1">
      <c r="A46" s="58"/>
      <c r="B46" s="485" t="s">
        <v>309</v>
      </c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6">
        <v>3340</v>
      </c>
      <c r="AB46" s="486"/>
      <c r="AC46" s="486"/>
      <c r="AD46" s="486"/>
      <c r="AE46" s="439"/>
      <c r="AF46" s="433"/>
      <c r="AG46" s="433"/>
      <c r="AH46" s="433"/>
      <c r="AI46" s="433"/>
      <c r="AJ46" s="433"/>
      <c r="AK46" s="433"/>
      <c r="AL46" s="433"/>
      <c r="AM46" s="433"/>
      <c r="AN46" s="433"/>
      <c r="AO46" s="433" t="s">
        <v>253</v>
      </c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 t="s">
        <v>253</v>
      </c>
      <c r="BJ46" s="433"/>
      <c r="BK46" s="433"/>
      <c r="BL46" s="433"/>
      <c r="BM46" s="433"/>
      <c r="BN46" s="433"/>
      <c r="BO46" s="433"/>
      <c r="BP46" s="433"/>
      <c r="BQ46" s="433"/>
      <c r="BR46" s="433"/>
    </row>
    <row r="47" spans="1:70" ht="12.75" customHeight="1">
      <c r="A47" s="58"/>
      <c r="B47" s="458" t="s">
        <v>248</v>
      </c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60"/>
      <c r="AA47" s="449">
        <v>3345</v>
      </c>
      <c r="AB47" s="450"/>
      <c r="AC47" s="450"/>
      <c r="AD47" s="451"/>
      <c r="AE47" s="434" t="s">
        <v>253</v>
      </c>
      <c r="AF47" s="435"/>
      <c r="AG47" s="435"/>
      <c r="AH47" s="435"/>
      <c r="AI47" s="435"/>
      <c r="AJ47" s="435"/>
      <c r="AK47" s="435"/>
      <c r="AL47" s="435"/>
      <c r="AM47" s="435"/>
      <c r="AN47" s="436"/>
      <c r="AO47" s="440"/>
      <c r="AP47" s="441"/>
      <c r="AQ47" s="441"/>
      <c r="AR47" s="441"/>
      <c r="AS47" s="441"/>
      <c r="AT47" s="441"/>
      <c r="AU47" s="441"/>
      <c r="AV47" s="441"/>
      <c r="AW47" s="441"/>
      <c r="AX47" s="442"/>
      <c r="AY47" s="434" t="s">
        <v>253</v>
      </c>
      <c r="AZ47" s="435"/>
      <c r="BA47" s="435"/>
      <c r="BB47" s="435"/>
      <c r="BC47" s="435"/>
      <c r="BD47" s="435"/>
      <c r="BE47" s="435"/>
      <c r="BF47" s="435"/>
      <c r="BG47" s="435"/>
      <c r="BH47" s="436"/>
      <c r="BI47" s="440"/>
      <c r="BJ47" s="441"/>
      <c r="BK47" s="441"/>
      <c r="BL47" s="441"/>
      <c r="BM47" s="441"/>
      <c r="BN47" s="441"/>
      <c r="BO47" s="441"/>
      <c r="BP47" s="441"/>
      <c r="BQ47" s="441"/>
      <c r="BR47" s="442"/>
    </row>
    <row r="48" spans="1:70" ht="12.75" customHeight="1">
      <c r="A48" s="58"/>
      <c r="B48" s="403" t="s">
        <v>249</v>
      </c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5"/>
      <c r="AA48" s="455"/>
      <c r="AB48" s="456"/>
      <c r="AC48" s="456"/>
      <c r="AD48" s="457"/>
      <c r="AE48" s="437"/>
      <c r="AF48" s="438"/>
      <c r="AG48" s="438"/>
      <c r="AH48" s="438"/>
      <c r="AI48" s="438"/>
      <c r="AJ48" s="438"/>
      <c r="AK48" s="438"/>
      <c r="AL48" s="438"/>
      <c r="AM48" s="438"/>
      <c r="AN48" s="439"/>
      <c r="AO48" s="443"/>
      <c r="AP48" s="444"/>
      <c r="AQ48" s="444"/>
      <c r="AR48" s="444"/>
      <c r="AS48" s="444"/>
      <c r="AT48" s="444"/>
      <c r="AU48" s="444"/>
      <c r="AV48" s="444"/>
      <c r="AW48" s="444"/>
      <c r="AX48" s="445"/>
      <c r="AY48" s="437"/>
      <c r="AZ48" s="438"/>
      <c r="BA48" s="438"/>
      <c r="BB48" s="438"/>
      <c r="BC48" s="438"/>
      <c r="BD48" s="438"/>
      <c r="BE48" s="438"/>
      <c r="BF48" s="438"/>
      <c r="BG48" s="438"/>
      <c r="BH48" s="439"/>
      <c r="BI48" s="443"/>
      <c r="BJ48" s="444"/>
      <c r="BK48" s="444"/>
      <c r="BL48" s="444"/>
      <c r="BM48" s="444"/>
      <c r="BN48" s="444"/>
      <c r="BO48" s="444"/>
      <c r="BP48" s="444"/>
      <c r="BQ48" s="444"/>
      <c r="BR48" s="445"/>
    </row>
    <row r="49" spans="1:70" ht="12.75" customHeight="1">
      <c r="A49" s="58"/>
      <c r="B49" s="398" t="s">
        <v>314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431">
        <v>3350</v>
      </c>
      <c r="AB49" s="431"/>
      <c r="AC49" s="431"/>
      <c r="AD49" s="431"/>
      <c r="AE49" s="432" t="s">
        <v>253</v>
      </c>
      <c r="AF49" s="346"/>
      <c r="AG49" s="346"/>
      <c r="AH49" s="346"/>
      <c r="AI49" s="346"/>
      <c r="AJ49" s="346"/>
      <c r="AK49" s="346"/>
      <c r="AL49" s="346"/>
      <c r="AM49" s="346"/>
      <c r="AN49" s="346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346" t="s">
        <v>253</v>
      </c>
      <c r="AZ49" s="346"/>
      <c r="BA49" s="346"/>
      <c r="BB49" s="346"/>
      <c r="BC49" s="346"/>
      <c r="BD49" s="346"/>
      <c r="BE49" s="346"/>
      <c r="BF49" s="346"/>
      <c r="BG49" s="346"/>
      <c r="BH49" s="346"/>
      <c r="BI49" s="430"/>
      <c r="BJ49" s="430"/>
      <c r="BK49" s="430"/>
      <c r="BL49" s="430"/>
      <c r="BM49" s="430"/>
      <c r="BN49" s="430"/>
      <c r="BO49" s="430"/>
      <c r="BP49" s="430"/>
      <c r="BQ49" s="430"/>
      <c r="BR49" s="430"/>
    </row>
    <row r="50" spans="1:70" ht="12.75" customHeight="1">
      <c r="A50" s="58"/>
      <c r="B50" s="281" t="s">
        <v>315</v>
      </c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431">
        <v>3355</v>
      </c>
      <c r="AB50" s="431"/>
      <c r="AC50" s="431"/>
      <c r="AD50" s="431"/>
      <c r="AE50" s="432" t="s">
        <v>253</v>
      </c>
      <c r="AF50" s="346"/>
      <c r="AG50" s="346"/>
      <c r="AH50" s="346"/>
      <c r="AI50" s="346"/>
      <c r="AJ50" s="346"/>
      <c r="AK50" s="346"/>
      <c r="AL50" s="346"/>
      <c r="AM50" s="346"/>
      <c r="AN50" s="346"/>
      <c r="AO50" s="430"/>
      <c r="AP50" s="430"/>
      <c r="AQ50" s="430"/>
      <c r="AR50" s="430"/>
      <c r="AS50" s="430"/>
      <c r="AT50" s="430"/>
      <c r="AU50" s="430"/>
      <c r="AV50" s="430"/>
      <c r="AW50" s="430"/>
      <c r="AX50" s="430"/>
      <c r="AY50" s="346" t="s">
        <v>253</v>
      </c>
      <c r="AZ50" s="346"/>
      <c r="BA50" s="346"/>
      <c r="BB50" s="346"/>
      <c r="BC50" s="346"/>
      <c r="BD50" s="346"/>
      <c r="BE50" s="346"/>
      <c r="BF50" s="346"/>
      <c r="BG50" s="346"/>
      <c r="BH50" s="346"/>
      <c r="BI50" s="430"/>
      <c r="BJ50" s="430"/>
      <c r="BK50" s="430"/>
      <c r="BL50" s="430"/>
      <c r="BM50" s="430"/>
      <c r="BN50" s="430"/>
      <c r="BO50" s="430"/>
      <c r="BP50" s="430"/>
      <c r="BQ50" s="430"/>
      <c r="BR50" s="430"/>
    </row>
    <row r="51" spans="1:70" ht="12.75" customHeight="1">
      <c r="A51" s="58"/>
      <c r="B51" s="281" t="s">
        <v>245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431">
        <v>3390</v>
      </c>
      <c r="AB51" s="431"/>
      <c r="AC51" s="431"/>
      <c r="AD51" s="431"/>
      <c r="AE51" s="432" t="s">
        <v>253</v>
      </c>
      <c r="AF51" s="346"/>
      <c r="AG51" s="346"/>
      <c r="AH51" s="346"/>
      <c r="AI51" s="346"/>
      <c r="AJ51" s="346"/>
      <c r="AK51" s="346"/>
      <c r="AL51" s="346"/>
      <c r="AM51" s="346"/>
      <c r="AN51" s="346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346" t="s">
        <v>253</v>
      </c>
      <c r="AZ51" s="346"/>
      <c r="BA51" s="346"/>
      <c r="BB51" s="346"/>
      <c r="BC51" s="346"/>
      <c r="BD51" s="346"/>
      <c r="BE51" s="346"/>
      <c r="BF51" s="346"/>
      <c r="BG51" s="346"/>
      <c r="BH51" s="346"/>
      <c r="BI51" s="430"/>
      <c r="BJ51" s="430"/>
      <c r="BK51" s="430"/>
      <c r="BL51" s="430"/>
      <c r="BM51" s="430"/>
      <c r="BN51" s="430"/>
      <c r="BO51" s="430"/>
      <c r="BP51" s="430"/>
      <c r="BQ51" s="430"/>
      <c r="BR51" s="430"/>
    </row>
    <row r="52" spans="1:70" ht="13.5" customHeight="1">
      <c r="A52" s="58"/>
      <c r="B52" s="278" t="s">
        <v>316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429">
        <v>3395</v>
      </c>
      <c r="AB52" s="429"/>
      <c r="AC52" s="429"/>
      <c r="AD52" s="429"/>
      <c r="AE52" s="432">
        <v>553</v>
      </c>
      <c r="AF52" s="346"/>
      <c r="AG52" s="346"/>
      <c r="AH52" s="346"/>
      <c r="AI52" s="346"/>
      <c r="AJ52" s="346"/>
      <c r="AK52" s="346"/>
      <c r="AL52" s="346"/>
      <c r="AM52" s="346"/>
      <c r="AN52" s="346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430"/>
      <c r="BJ52" s="430"/>
      <c r="BK52" s="430"/>
      <c r="BL52" s="430"/>
      <c r="BM52" s="430"/>
      <c r="BN52" s="430"/>
      <c r="BO52" s="430"/>
      <c r="BP52" s="430"/>
      <c r="BQ52" s="430"/>
      <c r="BR52" s="430"/>
    </row>
    <row r="53" spans="1:70" ht="12.75">
      <c r="A53" s="58"/>
      <c r="B53" s="278" t="s">
        <v>317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429">
        <v>3400</v>
      </c>
      <c r="AB53" s="429"/>
      <c r="AC53" s="429"/>
      <c r="AD53" s="429"/>
      <c r="AE53" s="432">
        <f>AE26-AO26+AE41-AO41+AE52-AO52</f>
        <v>538</v>
      </c>
      <c r="AF53" s="346"/>
      <c r="AG53" s="346"/>
      <c r="AH53" s="346"/>
      <c r="AI53" s="346"/>
      <c r="AJ53" s="346"/>
      <c r="AK53" s="346"/>
      <c r="AL53" s="346"/>
      <c r="AM53" s="346"/>
      <c r="AN53" s="346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</row>
    <row r="54" spans="1:70" ht="12.75">
      <c r="A54" s="58"/>
      <c r="B54" s="281" t="s">
        <v>318</v>
      </c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431">
        <v>3405</v>
      </c>
      <c r="AB54" s="431"/>
      <c r="AC54" s="431"/>
      <c r="AD54" s="431"/>
      <c r="AE54" s="432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 t="s">
        <v>253</v>
      </c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 t="s">
        <v>253</v>
      </c>
      <c r="BJ54" s="346"/>
      <c r="BK54" s="346"/>
      <c r="BL54" s="346"/>
      <c r="BM54" s="346"/>
      <c r="BN54" s="346"/>
      <c r="BO54" s="346"/>
      <c r="BP54" s="346"/>
      <c r="BQ54" s="346"/>
      <c r="BR54" s="346"/>
    </row>
    <row r="55" spans="1:70" ht="12.75">
      <c r="A55" s="58"/>
      <c r="B55" s="281" t="s">
        <v>319</v>
      </c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431">
        <v>3410</v>
      </c>
      <c r="AB55" s="431"/>
      <c r="AC55" s="431"/>
      <c r="AD55" s="431"/>
      <c r="AE55" s="432"/>
      <c r="AF55" s="346"/>
      <c r="AG55" s="346"/>
      <c r="AH55" s="346"/>
      <c r="AI55" s="346"/>
      <c r="AJ55" s="346"/>
      <c r="AK55" s="346"/>
      <c r="AL55" s="346"/>
      <c r="AM55" s="346"/>
      <c r="AN55" s="346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430"/>
      <c r="BJ55" s="430"/>
      <c r="BK55" s="430"/>
      <c r="BL55" s="430"/>
      <c r="BM55" s="430"/>
      <c r="BN55" s="430"/>
      <c r="BO55" s="430"/>
      <c r="BP55" s="430"/>
      <c r="BQ55" s="430"/>
      <c r="BR55" s="430"/>
    </row>
    <row r="56" spans="1:70" ht="12.75">
      <c r="A56" s="58"/>
      <c r="B56" s="281" t="s">
        <v>320</v>
      </c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431">
        <v>3415</v>
      </c>
      <c r="AB56" s="431"/>
      <c r="AC56" s="431"/>
      <c r="AD56" s="431"/>
      <c r="AE56" s="432"/>
      <c r="AF56" s="346"/>
      <c r="AG56" s="346"/>
      <c r="AH56" s="346"/>
      <c r="AI56" s="346"/>
      <c r="AJ56" s="346"/>
      <c r="AK56" s="346"/>
      <c r="AL56" s="346"/>
      <c r="AM56" s="346"/>
      <c r="AN56" s="346"/>
      <c r="AO56" s="430"/>
      <c r="AP56" s="430"/>
      <c r="AQ56" s="430"/>
      <c r="AR56" s="430"/>
      <c r="AS56" s="430"/>
      <c r="AT56" s="430"/>
      <c r="AU56" s="430"/>
      <c r="AV56" s="430"/>
      <c r="AW56" s="430"/>
      <c r="AX56" s="430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430"/>
      <c r="BJ56" s="430"/>
      <c r="BK56" s="430"/>
      <c r="BL56" s="430"/>
      <c r="BM56" s="430"/>
      <c r="BN56" s="430"/>
      <c r="BO56" s="430"/>
      <c r="BP56" s="430"/>
      <c r="BQ56" s="430"/>
      <c r="BR56" s="430"/>
    </row>
    <row r="57" spans="1:70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</row>
    <row r="58" spans="1:70" ht="12.75">
      <c r="A58" s="58"/>
      <c r="B58" s="487" t="s">
        <v>201</v>
      </c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</row>
    <row r="59" spans="1:70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</row>
    <row r="60" spans="1:70" ht="12.75">
      <c r="A60" s="58"/>
      <c r="B60" s="487" t="s">
        <v>202</v>
      </c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</row>
    <row r="61" spans="1:70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</row>
    <row r="62" spans="1:70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</row>
    <row r="63" spans="1:70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</row>
    <row r="64" spans="1:70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</row>
    <row r="65" spans="1:70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</row>
    <row r="66" spans="1:70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</row>
    <row r="68" spans="1:70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</row>
    <row r="69" spans="1:70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</row>
    <row r="70" spans="2:70" ht="12.75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  <c r="AV70" s="63"/>
      <c r="AW70" s="63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</row>
    <row r="71" spans="2:70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</row>
    <row r="72" spans="2:70" ht="12.7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  <c r="AV72" s="63"/>
      <c r="AW72" s="63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</row>
    <row r="73" spans="2:70" ht="12.7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  <c r="AV73" s="63"/>
      <c r="AW73" s="63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</row>
    <row r="74" spans="2:70" ht="12.7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</row>
    <row r="75" spans="2:70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</row>
    <row r="76" spans="2:70" ht="12.7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</row>
    <row r="77" spans="2:70" ht="12.7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</row>
    <row r="78" spans="2:70" ht="12.7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</row>
    <row r="79" spans="2:70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7"/>
      <c r="AU79" s="37"/>
      <c r="AV79" s="37"/>
      <c r="AW79" s="37"/>
      <c r="AX79" s="65"/>
      <c r="AY79" s="65"/>
      <c r="AZ79" s="65"/>
      <c r="BA79" s="65"/>
      <c r="BB79" s="65"/>
      <c r="BC79" s="65"/>
      <c r="BD79" s="65"/>
      <c r="BE79" s="65"/>
      <c r="BF79" s="65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</row>
    <row r="80" spans="2:70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7"/>
      <c r="AU80" s="37"/>
      <c r="AV80" s="37"/>
      <c r="AW80" s="37"/>
      <c r="AX80" s="65"/>
      <c r="AY80" s="65"/>
      <c r="AZ80" s="65"/>
      <c r="BA80" s="65"/>
      <c r="BB80" s="65"/>
      <c r="BC80" s="65"/>
      <c r="BD80" s="65"/>
      <c r="BE80" s="65"/>
      <c r="BF80" s="65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</row>
    <row r="81" spans="2:70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7"/>
      <c r="AU81" s="37"/>
      <c r="AV81" s="37"/>
      <c r="AW81" s="37"/>
      <c r="AX81" s="65"/>
      <c r="AY81" s="65"/>
      <c r="AZ81" s="65"/>
      <c r="BA81" s="65"/>
      <c r="BB81" s="65"/>
      <c r="BC81" s="65"/>
      <c r="BD81" s="65"/>
      <c r="BE81" s="65"/>
      <c r="BF81" s="65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</row>
    <row r="82" spans="2:70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7"/>
      <c r="AU82" s="37"/>
      <c r="AV82" s="37"/>
      <c r="AW82" s="37"/>
      <c r="AX82" s="65"/>
      <c r="AY82" s="65"/>
      <c r="AZ82" s="65"/>
      <c r="BA82" s="65"/>
      <c r="BB82" s="65"/>
      <c r="BC82" s="65"/>
      <c r="BD82" s="65"/>
      <c r="BE82" s="65"/>
      <c r="BF82" s="65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</row>
    <row r="83" spans="2:70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7"/>
      <c r="AU83" s="37"/>
      <c r="AV83" s="37"/>
      <c r="AW83" s="37"/>
      <c r="AX83" s="65"/>
      <c r="AY83" s="65"/>
      <c r="AZ83" s="65"/>
      <c r="BA83" s="65"/>
      <c r="BB83" s="65"/>
      <c r="BC83" s="65"/>
      <c r="BD83" s="65"/>
      <c r="BE83" s="65"/>
      <c r="BF83" s="65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</row>
    <row r="84" spans="2:70" ht="12.7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6"/>
      <c r="AU84" s="66"/>
      <c r="AV84" s="66"/>
      <c r="AW84" s="66"/>
      <c r="AX84" s="65"/>
      <c r="AY84" s="65"/>
      <c r="AZ84" s="65"/>
      <c r="BA84" s="65"/>
      <c r="BB84" s="65"/>
      <c r="BC84" s="65"/>
      <c r="BD84" s="65"/>
      <c r="BE84" s="65"/>
      <c r="BF84" s="65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</row>
    <row r="85" spans="2:70" ht="12.7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2:70" ht="12.7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2:70" ht="12.7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2:70" ht="12.7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2:70" ht="12.7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2:70" ht="12.7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2:70" ht="12.7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2:70" ht="12.7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2:70" ht="12.7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2:70" ht="12.7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2:70" ht="12.7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2:70" ht="12.7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2:70" ht="12.7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2:70" ht="12.7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2:70" ht="12.7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2:70" ht="12.7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2:70" ht="12.7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2:70" ht="12.7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2:70" ht="12.7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2:70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2:70" ht="12.7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2:70" ht="12.7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2:70" ht="12.7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2:70" ht="12.7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</row>
    <row r="109" spans="2:70" ht="12.7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</row>
    <row r="110" spans="2:70" ht="12.7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</row>
    <row r="111" spans="2:70" ht="12.7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</row>
    <row r="112" spans="2:70" ht="12.7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</row>
    <row r="113" spans="2:70" ht="12.7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</row>
    <row r="114" spans="2:70" ht="12.7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</row>
    <row r="115" spans="2:70" ht="12.7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</row>
    <row r="116" spans="2:70" ht="12.7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</row>
    <row r="117" spans="2:70" ht="12.7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</row>
    <row r="118" spans="2:70" ht="12.7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</row>
    <row r="119" spans="2:70" ht="12.7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</row>
    <row r="120" spans="2:70" ht="12.7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</row>
    <row r="121" spans="2:70" ht="12.7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</row>
    <row r="122" spans="2:70" ht="12.7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</row>
    <row r="123" spans="2:70" ht="12.7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</row>
    <row r="124" spans="2:70" ht="12.7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</row>
    <row r="125" spans="2:70" ht="12.7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</row>
    <row r="126" spans="2:70" ht="12.7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</row>
    <row r="127" spans="2:70" ht="12.7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</row>
    <row r="128" spans="2:70" ht="12.7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</row>
    <row r="129" spans="2:70" ht="12.7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</row>
    <row r="130" spans="2:70" ht="12.7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</row>
    <row r="131" spans="2:70" ht="12.7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</row>
    <row r="132" spans="2:70" ht="12.7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</row>
    <row r="133" spans="2:70" ht="12.7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</row>
    <row r="134" spans="2:70" ht="12.7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</row>
    <row r="135" spans="2:70" ht="12.7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</row>
    <row r="136" spans="2:70" ht="12.7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</row>
    <row r="137" spans="2:70" ht="12.7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</row>
    <row r="138" spans="2:70" ht="12.7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</row>
    <row r="139" spans="2:70" ht="12.7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</row>
    <row r="140" spans="2:70" ht="12.7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</row>
    <row r="141" spans="2:70" ht="12.7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</row>
    <row r="142" spans="2:70" ht="12.7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</row>
    <row r="143" spans="2:70" ht="12.7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</row>
    <row r="144" spans="2:70" ht="12.7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</row>
    <row r="145" spans="2:70" ht="12.7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</row>
    <row r="146" spans="2:70" ht="12.7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</row>
    <row r="147" spans="2:70" ht="12.7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</row>
    <row r="148" spans="2:70" ht="12.7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</row>
    <row r="149" spans="2:70" ht="12.7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</row>
    <row r="150" spans="2:70" ht="12.7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</row>
  </sheetData>
  <mergeCells count="238">
    <mergeCell ref="AY56:BH56"/>
    <mergeCell ref="BI56:BR56"/>
    <mergeCell ref="B58:Q58"/>
    <mergeCell ref="B60:T60"/>
    <mergeCell ref="B56:Z56"/>
    <mergeCell ref="AA56:AD56"/>
    <mergeCell ref="AE56:AN56"/>
    <mergeCell ref="AO56:AX56"/>
    <mergeCell ref="AY54:BH54"/>
    <mergeCell ref="BI54:BR54"/>
    <mergeCell ref="B55:Z55"/>
    <mergeCell ref="AA55:AD55"/>
    <mergeCell ref="AE55:AN55"/>
    <mergeCell ref="AO55:AX55"/>
    <mergeCell ref="AY55:BH55"/>
    <mergeCell ref="BI55:BR55"/>
    <mergeCell ref="B54:Z54"/>
    <mergeCell ref="AA54:AD54"/>
    <mergeCell ref="AE54:AN54"/>
    <mergeCell ref="AO54:AX54"/>
    <mergeCell ref="AE53:AN53"/>
    <mergeCell ref="AO53:AX53"/>
    <mergeCell ref="AY53:BH53"/>
    <mergeCell ref="BI53:BR53"/>
    <mergeCell ref="AY51:BH51"/>
    <mergeCell ref="BI51:BR51"/>
    <mergeCell ref="AY52:BH52"/>
    <mergeCell ref="BI52:BR52"/>
    <mergeCell ref="B52:Z52"/>
    <mergeCell ref="AA52:AD52"/>
    <mergeCell ref="AE52:AN52"/>
    <mergeCell ref="AO52:AX52"/>
    <mergeCell ref="B51:Z51"/>
    <mergeCell ref="AA51:AD51"/>
    <mergeCell ref="AE51:AN51"/>
    <mergeCell ref="AO51:AX51"/>
    <mergeCell ref="B50:Z50"/>
    <mergeCell ref="AA50:AD50"/>
    <mergeCell ref="AE50:AN50"/>
    <mergeCell ref="AO50:AX50"/>
    <mergeCell ref="B47:Z47"/>
    <mergeCell ref="AA47:AD48"/>
    <mergeCell ref="AE47:AN48"/>
    <mergeCell ref="AO47:AX48"/>
    <mergeCell ref="B48:Z48"/>
    <mergeCell ref="B46:Z46"/>
    <mergeCell ref="AA46:AD46"/>
    <mergeCell ref="AE46:AN46"/>
    <mergeCell ref="AO46:AX46"/>
    <mergeCell ref="AE42:AN44"/>
    <mergeCell ref="AO42:AX44"/>
    <mergeCell ref="B43:Z43"/>
    <mergeCell ref="B44:Z44"/>
    <mergeCell ref="B41:Z41"/>
    <mergeCell ref="AA41:AD41"/>
    <mergeCell ref="AE41:AN41"/>
    <mergeCell ref="AO41:AX41"/>
    <mergeCell ref="AO38:AX38"/>
    <mergeCell ref="AY38:BH38"/>
    <mergeCell ref="BI38:BR38"/>
    <mergeCell ref="B39:Z39"/>
    <mergeCell ref="AA39:AD39"/>
    <mergeCell ref="AE39:AN39"/>
    <mergeCell ref="AO39:AX39"/>
    <mergeCell ref="AY39:BH39"/>
    <mergeCell ref="BI39:BR39"/>
    <mergeCell ref="B37:Z37"/>
    <mergeCell ref="B38:Z38"/>
    <mergeCell ref="AA38:AD38"/>
    <mergeCell ref="AE38:AN38"/>
    <mergeCell ref="AY34:BH34"/>
    <mergeCell ref="BI34:BR34"/>
    <mergeCell ref="B35:Z35"/>
    <mergeCell ref="AA35:AD35"/>
    <mergeCell ref="AE35:AN35"/>
    <mergeCell ref="AO35:AX35"/>
    <mergeCell ref="AY35:BH35"/>
    <mergeCell ref="BI35:BR35"/>
    <mergeCell ref="B34:Z34"/>
    <mergeCell ref="AA34:AD34"/>
    <mergeCell ref="B33:Z33"/>
    <mergeCell ref="AA33:AD33"/>
    <mergeCell ref="AE33:AN33"/>
    <mergeCell ref="AO33:AX33"/>
    <mergeCell ref="AY30:BH30"/>
    <mergeCell ref="BI30:BR30"/>
    <mergeCell ref="B31:Z31"/>
    <mergeCell ref="AA31:AD32"/>
    <mergeCell ref="AE31:AN32"/>
    <mergeCell ref="AO31:AX32"/>
    <mergeCell ref="AY31:BH32"/>
    <mergeCell ref="BI31:BR32"/>
    <mergeCell ref="B32:Z32"/>
    <mergeCell ref="B30:Z30"/>
    <mergeCell ref="AA30:AD30"/>
    <mergeCell ref="AE30:AN30"/>
    <mergeCell ref="AO30:AX30"/>
    <mergeCell ref="B27:Z27"/>
    <mergeCell ref="AA27:AD29"/>
    <mergeCell ref="AE27:AN29"/>
    <mergeCell ref="AO27:AX29"/>
    <mergeCell ref="B28:Z28"/>
    <mergeCell ref="B29:Z29"/>
    <mergeCell ref="B26:Z26"/>
    <mergeCell ref="AA26:AD26"/>
    <mergeCell ref="AE26:AN26"/>
    <mergeCell ref="AO26:AX26"/>
    <mergeCell ref="AE25:AN25"/>
    <mergeCell ref="AO25:AX25"/>
    <mergeCell ref="B24:Z24"/>
    <mergeCell ref="AA24:AD24"/>
    <mergeCell ref="AE24:AN24"/>
    <mergeCell ref="AO24:AX24"/>
    <mergeCell ref="B25:Z25"/>
    <mergeCell ref="AA25:AD25"/>
    <mergeCell ref="AY22:BH22"/>
    <mergeCell ref="BI22:BR22"/>
    <mergeCell ref="B21:Z21"/>
    <mergeCell ref="AA21:AD21"/>
    <mergeCell ref="B22:Z22"/>
    <mergeCell ref="AA22:AD22"/>
    <mergeCell ref="AE22:AN22"/>
    <mergeCell ref="AO22:AX22"/>
    <mergeCell ref="B16:Z16"/>
    <mergeCell ref="AE21:AN21"/>
    <mergeCell ref="AO21:AX21"/>
    <mergeCell ref="B20:Z20"/>
    <mergeCell ref="AA20:AD20"/>
    <mergeCell ref="AE20:AN20"/>
    <mergeCell ref="AO20:AX20"/>
    <mergeCell ref="AA17:AD18"/>
    <mergeCell ref="AE17:AN18"/>
    <mergeCell ref="AO17:AX18"/>
    <mergeCell ref="AY14:BH14"/>
    <mergeCell ref="BI14:BR14"/>
    <mergeCell ref="AO15:AX16"/>
    <mergeCell ref="AY15:BH16"/>
    <mergeCell ref="BI15:BR16"/>
    <mergeCell ref="B14:Z14"/>
    <mergeCell ref="AA14:AD14"/>
    <mergeCell ref="AE14:AN14"/>
    <mergeCell ref="AO14:AX14"/>
    <mergeCell ref="AA12:AD13"/>
    <mergeCell ref="AE12:AX12"/>
    <mergeCell ref="AY12:BR12"/>
    <mergeCell ref="AE13:AN13"/>
    <mergeCell ref="AO13:AX13"/>
    <mergeCell ref="AY13:BH13"/>
    <mergeCell ref="BI13:BR13"/>
    <mergeCell ref="B4:J4"/>
    <mergeCell ref="K4:AW4"/>
    <mergeCell ref="AZ4:BH4"/>
    <mergeCell ref="BI4:BQ4"/>
    <mergeCell ref="BI2:BQ2"/>
    <mergeCell ref="B3:BH3"/>
    <mergeCell ref="BI3:BK3"/>
    <mergeCell ref="BL3:BN3"/>
    <mergeCell ref="BO3:BQ3"/>
    <mergeCell ref="K5:AW5"/>
    <mergeCell ref="B7:BQ7"/>
    <mergeCell ref="B8:BQ8"/>
    <mergeCell ref="B15:Z15"/>
    <mergeCell ref="AA15:AD16"/>
    <mergeCell ref="AE15:AN16"/>
    <mergeCell ref="AO10:AX10"/>
    <mergeCell ref="AY10:BJ10"/>
    <mergeCell ref="BK10:BR10"/>
    <mergeCell ref="B12:Z13"/>
    <mergeCell ref="AY17:BH18"/>
    <mergeCell ref="BI17:BR18"/>
    <mergeCell ref="B18:Z18"/>
    <mergeCell ref="B19:Z19"/>
    <mergeCell ref="AA19:AD19"/>
    <mergeCell ref="AE19:AN19"/>
    <mergeCell ref="AO19:AX19"/>
    <mergeCell ref="AY19:BH19"/>
    <mergeCell ref="BI19:BR19"/>
    <mergeCell ref="B17:Z17"/>
    <mergeCell ref="AY20:BH20"/>
    <mergeCell ref="BI20:BR20"/>
    <mergeCell ref="B23:Z23"/>
    <mergeCell ref="AA23:AD23"/>
    <mergeCell ref="AE23:AN23"/>
    <mergeCell ref="AO23:AX23"/>
    <mergeCell ref="AY23:BH23"/>
    <mergeCell ref="BI23:BR23"/>
    <mergeCell ref="AY21:BH21"/>
    <mergeCell ref="BI21:BR21"/>
    <mergeCell ref="AY24:BH24"/>
    <mergeCell ref="BI24:BR24"/>
    <mergeCell ref="AY27:BH29"/>
    <mergeCell ref="BI27:BR29"/>
    <mergeCell ref="AY25:BH25"/>
    <mergeCell ref="BI25:BR25"/>
    <mergeCell ref="AY26:BH26"/>
    <mergeCell ref="BI26:BR26"/>
    <mergeCell ref="AY33:BH33"/>
    <mergeCell ref="BI33:BR33"/>
    <mergeCell ref="B36:Z36"/>
    <mergeCell ref="AA36:AD37"/>
    <mergeCell ref="AE36:AN37"/>
    <mergeCell ref="AO36:AX37"/>
    <mergeCell ref="AY36:BH37"/>
    <mergeCell ref="BI36:BR37"/>
    <mergeCell ref="AE34:AN34"/>
    <mergeCell ref="AO34:AX34"/>
    <mergeCell ref="B40:Z40"/>
    <mergeCell ref="AA40:AD40"/>
    <mergeCell ref="AE40:AN40"/>
    <mergeCell ref="AO40:AX40"/>
    <mergeCell ref="AY40:BH40"/>
    <mergeCell ref="BI40:BR40"/>
    <mergeCell ref="AY41:BH41"/>
    <mergeCell ref="BI41:BR41"/>
    <mergeCell ref="AY42:BH44"/>
    <mergeCell ref="BI42:BR44"/>
    <mergeCell ref="B45:Z45"/>
    <mergeCell ref="AA45:AD45"/>
    <mergeCell ref="AE45:AN45"/>
    <mergeCell ref="AO45:AX45"/>
    <mergeCell ref="AY45:BH45"/>
    <mergeCell ref="BI45:BR45"/>
    <mergeCell ref="B42:Z42"/>
    <mergeCell ref="AA42:AD44"/>
    <mergeCell ref="AY46:BH46"/>
    <mergeCell ref="BI46:BR46"/>
    <mergeCell ref="AY47:BH48"/>
    <mergeCell ref="BI47:BR48"/>
    <mergeCell ref="B53:Z53"/>
    <mergeCell ref="AA53:AD53"/>
    <mergeCell ref="AY49:BH49"/>
    <mergeCell ref="BI49:BR49"/>
    <mergeCell ref="AY50:BH50"/>
    <mergeCell ref="BI50:BR50"/>
    <mergeCell ref="B49:Z49"/>
    <mergeCell ref="AA49:AD49"/>
    <mergeCell ref="AE49:AN49"/>
    <mergeCell ref="AO49:AX49"/>
  </mergeCells>
  <printOptions/>
  <pageMargins left="0.75" right="0.75" top="1" bottom="1" header="0.5" footer="0.5"/>
  <pageSetup fitToHeight="2" fitToWidth="1"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82"/>
  <sheetViews>
    <sheetView zoomScale="130" zoomScaleNormal="130" workbookViewId="0" topLeftCell="A4">
      <selection activeCell="BV4" sqref="BV4"/>
    </sheetView>
  </sheetViews>
  <sheetFormatPr defaultColWidth="9.00390625" defaultRowHeight="12.75"/>
  <cols>
    <col min="1" max="1" width="1.625" style="69" customWidth="1"/>
    <col min="2" max="70" width="1.25" style="69" customWidth="1"/>
    <col min="71" max="16384" width="9.125" style="20" customWidth="1"/>
  </cols>
  <sheetData>
    <row r="1" spans="3:70" ht="15.75">
      <c r="C1" s="517" t="s">
        <v>330</v>
      </c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  <c r="BK1" s="517"/>
      <c r="BL1" s="517"/>
      <c r="BM1" s="517"/>
      <c r="BN1" s="517"/>
      <c r="BO1" s="517"/>
      <c r="BP1" s="517"/>
      <c r="BQ1" s="517"/>
      <c r="BR1" s="517"/>
    </row>
    <row r="2" spans="3:70" ht="15.75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517" t="s">
        <v>207</v>
      </c>
      <c r="AC2" s="517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9">
        <v>20</v>
      </c>
      <c r="AR2" s="519"/>
      <c r="AS2" s="519"/>
      <c r="AT2" s="520"/>
      <c r="AU2" s="520"/>
      <c r="AV2" s="520"/>
      <c r="AW2" s="70" t="s">
        <v>331</v>
      </c>
      <c r="AX2" s="149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</row>
    <row r="3" spans="42:70" ht="12.75" customHeight="1">
      <c r="AP3" s="521" t="s">
        <v>332</v>
      </c>
      <c r="AQ3" s="521"/>
      <c r="AR3" s="521"/>
      <c r="AS3" s="521"/>
      <c r="AT3" s="521"/>
      <c r="AU3" s="521"/>
      <c r="AV3" s="521"/>
      <c r="AW3" s="521"/>
      <c r="AX3" s="522" t="s">
        <v>132</v>
      </c>
      <c r="AY3" s="522"/>
      <c r="AZ3" s="522"/>
      <c r="BA3" s="522"/>
      <c r="BB3" s="522"/>
      <c r="BC3" s="522"/>
      <c r="BD3" s="522"/>
      <c r="BE3" s="522"/>
      <c r="BF3" s="522"/>
      <c r="BG3" s="522"/>
      <c r="BH3" s="522"/>
      <c r="BI3" s="523"/>
      <c r="BJ3" s="524">
        <v>1801005</v>
      </c>
      <c r="BK3" s="525"/>
      <c r="BL3" s="525"/>
      <c r="BM3" s="525"/>
      <c r="BN3" s="525"/>
      <c r="BO3" s="525"/>
      <c r="BP3" s="525"/>
      <c r="BQ3" s="525"/>
      <c r="BR3" s="526"/>
    </row>
    <row r="4" spans="1:70" ht="60" customHeight="1">
      <c r="A4" s="527" t="s">
        <v>209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 t="s">
        <v>134</v>
      </c>
      <c r="M4" s="527"/>
      <c r="N4" s="527"/>
      <c r="O4" s="527"/>
      <c r="P4" s="528" t="s">
        <v>333</v>
      </c>
      <c r="Q4" s="528"/>
      <c r="R4" s="528"/>
      <c r="S4" s="528"/>
      <c r="T4" s="528"/>
      <c r="U4" s="528"/>
      <c r="V4" s="528"/>
      <c r="W4" s="527" t="s">
        <v>334</v>
      </c>
      <c r="X4" s="527"/>
      <c r="Y4" s="527"/>
      <c r="Z4" s="527"/>
      <c r="AA4" s="527"/>
      <c r="AB4" s="527"/>
      <c r="AC4" s="527" t="s">
        <v>335</v>
      </c>
      <c r="AD4" s="527"/>
      <c r="AE4" s="527"/>
      <c r="AF4" s="527"/>
      <c r="AG4" s="527"/>
      <c r="AH4" s="527"/>
      <c r="AI4" s="527"/>
      <c r="AJ4" s="527" t="s">
        <v>336</v>
      </c>
      <c r="AK4" s="527"/>
      <c r="AL4" s="527"/>
      <c r="AM4" s="527"/>
      <c r="AN4" s="527"/>
      <c r="AO4" s="527"/>
      <c r="AP4" s="527" t="s">
        <v>337</v>
      </c>
      <c r="AQ4" s="527"/>
      <c r="AR4" s="527"/>
      <c r="AS4" s="527"/>
      <c r="AT4" s="527"/>
      <c r="AU4" s="527"/>
      <c r="AV4" s="527"/>
      <c r="AW4" s="527" t="s">
        <v>338</v>
      </c>
      <c r="AX4" s="527"/>
      <c r="AY4" s="527"/>
      <c r="AZ4" s="527"/>
      <c r="BA4" s="527"/>
      <c r="BB4" s="527"/>
      <c r="BC4" s="527"/>
      <c r="BD4" s="527" t="s">
        <v>339</v>
      </c>
      <c r="BE4" s="527"/>
      <c r="BF4" s="527"/>
      <c r="BG4" s="527"/>
      <c r="BH4" s="527"/>
      <c r="BI4" s="527"/>
      <c r="BJ4" s="527" t="s">
        <v>257</v>
      </c>
      <c r="BK4" s="527"/>
      <c r="BL4" s="527"/>
      <c r="BM4" s="527"/>
      <c r="BN4" s="527"/>
      <c r="BO4" s="527"/>
      <c r="BP4" s="527"/>
      <c r="BQ4" s="527"/>
      <c r="BR4" s="527"/>
    </row>
    <row r="5" spans="1:70" ht="12.75">
      <c r="A5" s="529">
        <v>1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499">
        <v>2</v>
      </c>
      <c r="M5" s="499"/>
      <c r="N5" s="499"/>
      <c r="O5" s="499"/>
      <c r="P5" s="499">
        <v>3</v>
      </c>
      <c r="Q5" s="499"/>
      <c r="R5" s="499"/>
      <c r="S5" s="499"/>
      <c r="T5" s="499"/>
      <c r="U5" s="499"/>
      <c r="V5" s="499"/>
      <c r="W5" s="499">
        <v>4</v>
      </c>
      <c r="X5" s="499"/>
      <c r="Y5" s="499"/>
      <c r="Z5" s="499"/>
      <c r="AA5" s="499"/>
      <c r="AB5" s="499"/>
      <c r="AC5" s="499">
        <v>5</v>
      </c>
      <c r="AD5" s="499"/>
      <c r="AE5" s="499"/>
      <c r="AF5" s="499"/>
      <c r="AG5" s="499"/>
      <c r="AH5" s="499"/>
      <c r="AI5" s="499"/>
      <c r="AJ5" s="499">
        <v>6</v>
      </c>
      <c r="AK5" s="499"/>
      <c r="AL5" s="499"/>
      <c r="AM5" s="499"/>
      <c r="AN5" s="499"/>
      <c r="AO5" s="499"/>
      <c r="AP5" s="499">
        <v>7</v>
      </c>
      <c r="AQ5" s="499"/>
      <c r="AR5" s="499"/>
      <c r="AS5" s="499"/>
      <c r="AT5" s="499"/>
      <c r="AU5" s="499"/>
      <c r="AV5" s="499"/>
      <c r="AW5" s="499">
        <v>8</v>
      </c>
      <c r="AX5" s="499"/>
      <c r="AY5" s="499"/>
      <c r="AZ5" s="499"/>
      <c r="BA5" s="499"/>
      <c r="BB5" s="499"/>
      <c r="BC5" s="499"/>
      <c r="BD5" s="499">
        <v>9</v>
      </c>
      <c r="BE5" s="499"/>
      <c r="BF5" s="499"/>
      <c r="BG5" s="499"/>
      <c r="BH5" s="499"/>
      <c r="BI5" s="499"/>
      <c r="BJ5" s="499">
        <v>10</v>
      </c>
      <c r="BK5" s="499"/>
      <c r="BL5" s="499"/>
      <c r="BM5" s="499"/>
      <c r="BN5" s="499"/>
      <c r="BO5" s="499"/>
      <c r="BP5" s="499"/>
      <c r="BQ5" s="499"/>
      <c r="BR5" s="499"/>
    </row>
    <row r="6" spans="1:70" ht="13.5" customHeight="1">
      <c r="A6" s="530" t="s">
        <v>340</v>
      </c>
      <c r="B6" s="531"/>
      <c r="C6" s="531"/>
      <c r="D6" s="531"/>
      <c r="E6" s="531"/>
      <c r="F6" s="531"/>
      <c r="G6" s="531"/>
      <c r="H6" s="531"/>
      <c r="I6" s="531"/>
      <c r="J6" s="531"/>
      <c r="K6" s="532"/>
      <c r="L6" s="533">
        <v>4000</v>
      </c>
      <c r="M6" s="533"/>
      <c r="N6" s="533"/>
      <c r="O6" s="534"/>
      <c r="P6" s="537"/>
      <c r="Q6" s="508">
        <v>2500</v>
      </c>
      <c r="R6" s="508"/>
      <c r="S6" s="508"/>
      <c r="T6" s="508"/>
      <c r="U6" s="508"/>
      <c r="V6" s="539"/>
      <c r="W6" s="541"/>
      <c r="X6" s="508">
        <v>145</v>
      </c>
      <c r="Y6" s="508"/>
      <c r="Z6" s="508"/>
      <c r="AA6" s="508"/>
      <c r="AB6" s="539"/>
      <c r="AC6" s="541"/>
      <c r="AD6" s="508"/>
      <c r="AE6" s="508"/>
      <c r="AF6" s="508"/>
      <c r="AG6" s="508"/>
      <c r="AH6" s="508"/>
      <c r="AI6" s="539"/>
      <c r="AJ6" s="541"/>
      <c r="AK6" s="508"/>
      <c r="AL6" s="508"/>
      <c r="AM6" s="508"/>
      <c r="AN6" s="508"/>
      <c r="AO6" s="539"/>
      <c r="AP6" s="541"/>
      <c r="AQ6" s="508">
        <v>1385</v>
      </c>
      <c r="AR6" s="508"/>
      <c r="AS6" s="508"/>
      <c r="AT6" s="508"/>
      <c r="AU6" s="508"/>
      <c r="AV6" s="539"/>
      <c r="AW6" s="541"/>
      <c r="AX6" s="508"/>
      <c r="AY6" s="508"/>
      <c r="AZ6" s="508"/>
      <c r="BA6" s="508"/>
      <c r="BB6" s="508"/>
      <c r="BC6" s="539"/>
      <c r="BD6" s="541"/>
      <c r="BE6" s="508"/>
      <c r="BF6" s="508"/>
      <c r="BG6" s="508"/>
      <c r="BH6" s="508"/>
      <c r="BI6" s="539"/>
      <c r="BJ6" s="541"/>
      <c r="BK6" s="508">
        <f>SUM(Q6,X6,AD6,AK6,AQ6,AX6,BE6)</f>
        <v>4030</v>
      </c>
      <c r="BL6" s="508"/>
      <c r="BM6" s="508"/>
      <c r="BN6" s="508"/>
      <c r="BO6" s="508"/>
      <c r="BP6" s="508"/>
      <c r="BQ6" s="508"/>
      <c r="BR6" s="539"/>
    </row>
    <row r="7" spans="1:70" ht="12.75" customHeight="1">
      <c r="A7" s="543" t="s">
        <v>341</v>
      </c>
      <c r="B7" s="544"/>
      <c r="C7" s="544"/>
      <c r="D7" s="544"/>
      <c r="E7" s="544"/>
      <c r="F7" s="544"/>
      <c r="G7" s="544"/>
      <c r="H7" s="544"/>
      <c r="I7" s="544"/>
      <c r="J7" s="544"/>
      <c r="K7" s="545"/>
      <c r="L7" s="535"/>
      <c r="M7" s="535"/>
      <c r="N7" s="535"/>
      <c r="O7" s="536"/>
      <c r="P7" s="538"/>
      <c r="Q7" s="497"/>
      <c r="R7" s="497"/>
      <c r="S7" s="497"/>
      <c r="T7" s="497"/>
      <c r="U7" s="497"/>
      <c r="V7" s="540"/>
      <c r="W7" s="542"/>
      <c r="X7" s="497"/>
      <c r="Y7" s="497"/>
      <c r="Z7" s="497"/>
      <c r="AA7" s="497"/>
      <c r="AB7" s="540"/>
      <c r="AC7" s="542"/>
      <c r="AD7" s="497"/>
      <c r="AE7" s="497"/>
      <c r="AF7" s="497"/>
      <c r="AG7" s="497"/>
      <c r="AH7" s="497"/>
      <c r="AI7" s="540"/>
      <c r="AJ7" s="542"/>
      <c r="AK7" s="497"/>
      <c r="AL7" s="497"/>
      <c r="AM7" s="497"/>
      <c r="AN7" s="497"/>
      <c r="AO7" s="540"/>
      <c r="AP7" s="542"/>
      <c r="AQ7" s="497"/>
      <c r="AR7" s="497"/>
      <c r="AS7" s="497"/>
      <c r="AT7" s="497"/>
      <c r="AU7" s="497"/>
      <c r="AV7" s="540"/>
      <c r="AW7" s="542"/>
      <c r="AX7" s="497"/>
      <c r="AY7" s="497"/>
      <c r="AZ7" s="497"/>
      <c r="BA7" s="497"/>
      <c r="BB7" s="497"/>
      <c r="BC7" s="540"/>
      <c r="BD7" s="542"/>
      <c r="BE7" s="497"/>
      <c r="BF7" s="497"/>
      <c r="BG7" s="497"/>
      <c r="BH7" s="497"/>
      <c r="BI7" s="540"/>
      <c r="BJ7" s="542"/>
      <c r="BK7" s="497"/>
      <c r="BL7" s="497"/>
      <c r="BM7" s="497"/>
      <c r="BN7" s="497"/>
      <c r="BO7" s="497"/>
      <c r="BP7" s="497"/>
      <c r="BQ7" s="497"/>
      <c r="BR7" s="540"/>
    </row>
    <row r="8" spans="1:70" ht="15" customHeight="1">
      <c r="A8" s="530" t="s">
        <v>342</v>
      </c>
      <c r="B8" s="531"/>
      <c r="C8" s="531"/>
      <c r="D8" s="531"/>
      <c r="E8" s="531"/>
      <c r="F8" s="531"/>
      <c r="G8" s="531"/>
      <c r="H8" s="531"/>
      <c r="I8" s="531"/>
      <c r="J8" s="531"/>
      <c r="K8" s="532"/>
      <c r="L8" s="510">
        <v>4005</v>
      </c>
      <c r="M8" s="510"/>
      <c r="N8" s="510"/>
      <c r="O8" s="511"/>
      <c r="P8" s="509"/>
      <c r="Q8" s="508"/>
      <c r="R8" s="508"/>
      <c r="S8" s="508"/>
      <c r="T8" s="508"/>
      <c r="U8" s="508"/>
      <c r="V8" s="539"/>
      <c r="W8" s="541"/>
      <c r="X8" s="508"/>
      <c r="Y8" s="508"/>
      <c r="Z8" s="508"/>
      <c r="AA8" s="508"/>
      <c r="AB8" s="539"/>
      <c r="AC8" s="541"/>
      <c r="AD8" s="508"/>
      <c r="AE8" s="508"/>
      <c r="AF8" s="508"/>
      <c r="AG8" s="508"/>
      <c r="AH8" s="508"/>
      <c r="AI8" s="539"/>
      <c r="AJ8" s="541"/>
      <c r="AK8" s="508"/>
      <c r="AL8" s="508"/>
      <c r="AM8" s="508"/>
      <c r="AN8" s="508"/>
      <c r="AO8" s="539"/>
      <c r="AP8" s="541"/>
      <c r="AQ8" s="508"/>
      <c r="AR8" s="508"/>
      <c r="AS8" s="508"/>
      <c r="AT8" s="508"/>
      <c r="AU8" s="508"/>
      <c r="AV8" s="539"/>
      <c r="AW8" s="541"/>
      <c r="AX8" s="508"/>
      <c r="AY8" s="508"/>
      <c r="AZ8" s="508"/>
      <c r="BA8" s="508"/>
      <c r="BB8" s="508"/>
      <c r="BC8" s="539"/>
      <c r="BD8" s="541"/>
      <c r="BE8" s="508"/>
      <c r="BF8" s="508"/>
      <c r="BG8" s="508"/>
      <c r="BH8" s="508"/>
      <c r="BI8" s="539"/>
      <c r="BJ8" s="541"/>
      <c r="BK8" s="508">
        <f>SUM(Q8,X8,AD8,AK8,AQ8,AX8,BE8)</f>
        <v>0</v>
      </c>
      <c r="BL8" s="508"/>
      <c r="BM8" s="508"/>
      <c r="BN8" s="508"/>
      <c r="BO8" s="508"/>
      <c r="BP8" s="508"/>
      <c r="BQ8" s="508"/>
      <c r="BR8" s="539"/>
    </row>
    <row r="9" spans="1:70" ht="15" customHeight="1">
      <c r="A9" s="501" t="s">
        <v>343</v>
      </c>
      <c r="B9" s="502"/>
      <c r="C9" s="502"/>
      <c r="D9" s="502"/>
      <c r="E9" s="502"/>
      <c r="F9" s="502"/>
      <c r="G9" s="502"/>
      <c r="H9" s="502"/>
      <c r="I9" s="502"/>
      <c r="J9" s="502"/>
      <c r="K9" s="503"/>
      <c r="L9" s="513"/>
      <c r="M9" s="513"/>
      <c r="N9" s="513"/>
      <c r="O9" s="514"/>
      <c r="P9" s="512"/>
      <c r="Q9" s="497"/>
      <c r="R9" s="497"/>
      <c r="S9" s="497"/>
      <c r="T9" s="497"/>
      <c r="U9" s="497"/>
      <c r="V9" s="540"/>
      <c r="W9" s="542"/>
      <c r="X9" s="497"/>
      <c r="Y9" s="497"/>
      <c r="Z9" s="497"/>
      <c r="AA9" s="497"/>
      <c r="AB9" s="540"/>
      <c r="AC9" s="542"/>
      <c r="AD9" s="497"/>
      <c r="AE9" s="497"/>
      <c r="AF9" s="497"/>
      <c r="AG9" s="497"/>
      <c r="AH9" s="497"/>
      <c r="AI9" s="540"/>
      <c r="AJ9" s="542"/>
      <c r="AK9" s="497"/>
      <c r="AL9" s="497"/>
      <c r="AM9" s="497"/>
      <c r="AN9" s="497"/>
      <c r="AO9" s="540"/>
      <c r="AP9" s="542"/>
      <c r="AQ9" s="497"/>
      <c r="AR9" s="497"/>
      <c r="AS9" s="497"/>
      <c r="AT9" s="497"/>
      <c r="AU9" s="497"/>
      <c r="AV9" s="540"/>
      <c r="AW9" s="542"/>
      <c r="AX9" s="497"/>
      <c r="AY9" s="497"/>
      <c r="AZ9" s="497"/>
      <c r="BA9" s="497"/>
      <c r="BB9" s="497"/>
      <c r="BC9" s="540"/>
      <c r="BD9" s="542"/>
      <c r="BE9" s="497"/>
      <c r="BF9" s="497"/>
      <c r="BG9" s="497"/>
      <c r="BH9" s="497"/>
      <c r="BI9" s="540"/>
      <c r="BJ9" s="542"/>
      <c r="BK9" s="497"/>
      <c r="BL9" s="497"/>
      <c r="BM9" s="497"/>
      <c r="BN9" s="497"/>
      <c r="BO9" s="497"/>
      <c r="BP9" s="497"/>
      <c r="BQ9" s="497"/>
      <c r="BR9" s="540"/>
    </row>
    <row r="10" spans="1:70" ht="29.25" customHeight="1">
      <c r="A10" s="546" t="s">
        <v>258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499">
        <v>4010</v>
      </c>
      <c r="M10" s="499"/>
      <c r="N10" s="499"/>
      <c r="O10" s="499"/>
      <c r="P10" s="151"/>
      <c r="Q10" s="500"/>
      <c r="R10" s="500"/>
      <c r="S10" s="500"/>
      <c r="T10" s="500"/>
      <c r="U10" s="500"/>
      <c r="V10" s="152"/>
      <c r="W10" s="153"/>
      <c r="X10" s="500"/>
      <c r="Y10" s="500"/>
      <c r="Z10" s="500"/>
      <c r="AA10" s="500"/>
      <c r="AB10" s="152"/>
      <c r="AC10" s="153"/>
      <c r="AD10" s="500"/>
      <c r="AE10" s="500"/>
      <c r="AF10" s="500"/>
      <c r="AG10" s="500"/>
      <c r="AH10" s="500"/>
      <c r="AI10" s="152"/>
      <c r="AJ10" s="153"/>
      <c r="AK10" s="500"/>
      <c r="AL10" s="500"/>
      <c r="AM10" s="500"/>
      <c r="AN10" s="500"/>
      <c r="AO10" s="152"/>
      <c r="AP10" s="153"/>
      <c r="AQ10" s="500"/>
      <c r="AR10" s="500"/>
      <c r="AS10" s="500"/>
      <c r="AT10" s="500"/>
      <c r="AU10" s="500"/>
      <c r="AV10" s="152"/>
      <c r="AW10" s="153"/>
      <c r="AX10" s="500"/>
      <c r="AY10" s="500"/>
      <c r="AZ10" s="500"/>
      <c r="BA10" s="500"/>
      <c r="BB10" s="500"/>
      <c r="BC10" s="152"/>
      <c r="BD10" s="153"/>
      <c r="BE10" s="500"/>
      <c r="BF10" s="500"/>
      <c r="BG10" s="500"/>
      <c r="BH10" s="500"/>
      <c r="BI10" s="152"/>
      <c r="BJ10" s="153"/>
      <c r="BK10" s="500">
        <f>SUM(Q10,X10,AD10,AK10,AQ10,AX10,BE10)</f>
        <v>0</v>
      </c>
      <c r="BL10" s="500"/>
      <c r="BM10" s="500"/>
      <c r="BN10" s="500"/>
      <c r="BO10" s="500"/>
      <c r="BP10" s="500"/>
      <c r="BQ10" s="500"/>
      <c r="BR10" s="152"/>
    </row>
    <row r="11" spans="1:70" ht="18" customHeight="1">
      <c r="A11" s="515" t="s">
        <v>259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499">
        <v>4090</v>
      </c>
      <c r="M11" s="499"/>
      <c r="N11" s="499"/>
      <c r="O11" s="499"/>
      <c r="P11" s="151"/>
      <c r="Q11" s="500"/>
      <c r="R11" s="500"/>
      <c r="S11" s="500"/>
      <c r="T11" s="500"/>
      <c r="U11" s="500"/>
      <c r="V11" s="152"/>
      <c r="W11" s="153"/>
      <c r="X11" s="500"/>
      <c r="Y11" s="500"/>
      <c r="Z11" s="500"/>
      <c r="AA11" s="500"/>
      <c r="AB11" s="152"/>
      <c r="AC11" s="153"/>
      <c r="AD11" s="500"/>
      <c r="AE11" s="500"/>
      <c r="AF11" s="500"/>
      <c r="AG11" s="500"/>
      <c r="AH11" s="500"/>
      <c r="AI11" s="152"/>
      <c r="AJ11" s="153"/>
      <c r="AK11" s="500"/>
      <c r="AL11" s="500"/>
      <c r="AM11" s="500"/>
      <c r="AN11" s="500"/>
      <c r="AO11" s="152"/>
      <c r="AP11" s="153"/>
      <c r="AQ11" s="500"/>
      <c r="AR11" s="500"/>
      <c r="AS11" s="500"/>
      <c r="AT11" s="500"/>
      <c r="AU11" s="500"/>
      <c r="AV11" s="152"/>
      <c r="AW11" s="153"/>
      <c r="AX11" s="500"/>
      <c r="AY11" s="500"/>
      <c r="AZ11" s="500"/>
      <c r="BA11" s="500"/>
      <c r="BB11" s="500"/>
      <c r="BC11" s="152"/>
      <c r="BD11" s="153"/>
      <c r="BE11" s="500"/>
      <c r="BF11" s="500"/>
      <c r="BG11" s="500"/>
      <c r="BH11" s="500"/>
      <c r="BI11" s="152"/>
      <c r="BJ11" s="153"/>
      <c r="BK11" s="500">
        <f>SUM(Q11,X11,AD11,AK11,AQ11,AX11,BE11)</f>
        <v>0</v>
      </c>
      <c r="BL11" s="500"/>
      <c r="BM11" s="500"/>
      <c r="BN11" s="500"/>
      <c r="BO11" s="500"/>
      <c r="BP11" s="500"/>
      <c r="BQ11" s="500"/>
      <c r="BR11" s="152"/>
    </row>
    <row r="12" spans="1:70" ht="46.5" customHeight="1">
      <c r="A12" s="547" t="s">
        <v>260</v>
      </c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8">
        <v>4095</v>
      </c>
      <c r="M12" s="548"/>
      <c r="N12" s="548"/>
      <c r="O12" s="548"/>
      <c r="P12" s="153"/>
      <c r="Q12" s="500">
        <f>SUM(Q6:U11)</f>
        <v>2500</v>
      </c>
      <c r="R12" s="500"/>
      <c r="S12" s="500"/>
      <c r="T12" s="500"/>
      <c r="U12" s="500"/>
      <c r="V12" s="152"/>
      <c r="W12" s="153"/>
      <c r="X12" s="500">
        <f>SUM(X6:AA11)</f>
        <v>145</v>
      </c>
      <c r="Y12" s="500"/>
      <c r="Z12" s="500"/>
      <c r="AA12" s="500"/>
      <c r="AB12" s="152"/>
      <c r="AC12" s="153"/>
      <c r="AD12" s="500">
        <f>SUM(AD6:AH11)</f>
        <v>0</v>
      </c>
      <c r="AE12" s="500"/>
      <c r="AF12" s="500"/>
      <c r="AG12" s="500"/>
      <c r="AH12" s="500"/>
      <c r="AI12" s="152"/>
      <c r="AJ12" s="153"/>
      <c r="AK12" s="500">
        <f>SUM(AK6:AN11)</f>
        <v>0</v>
      </c>
      <c r="AL12" s="500"/>
      <c r="AM12" s="500"/>
      <c r="AN12" s="500"/>
      <c r="AO12" s="152"/>
      <c r="AP12" s="153"/>
      <c r="AQ12" s="500">
        <f>SUM(AQ6:AU11)</f>
        <v>1385</v>
      </c>
      <c r="AR12" s="500"/>
      <c r="AS12" s="500"/>
      <c r="AT12" s="500"/>
      <c r="AU12" s="500"/>
      <c r="AV12" s="152"/>
      <c r="AW12" s="153"/>
      <c r="AX12" s="500">
        <f>SUM(AX6:BB11)</f>
        <v>0</v>
      </c>
      <c r="AY12" s="500"/>
      <c r="AZ12" s="500"/>
      <c r="BA12" s="500"/>
      <c r="BB12" s="500"/>
      <c r="BC12" s="152"/>
      <c r="BD12" s="153"/>
      <c r="BE12" s="500">
        <f>SUM(BE6:BH11)</f>
        <v>0</v>
      </c>
      <c r="BF12" s="500"/>
      <c r="BG12" s="500"/>
      <c r="BH12" s="500"/>
      <c r="BI12" s="152"/>
      <c r="BJ12" s="153"/>
      <c r="BK12" s="500">
        <f>SUM(Q12,X12,AD12,AK12,AQ12,AX12,BE12)</f>
        <v>4030</v>
      </c>
      <c r="BL12" s="500"/>
      <c r="BM12" s="500"/>
      <c r="BN12" s="500"/>
      <c r="BO12" s="500"/>
      <c r="BP12" s="500"/>
      <c r="BQ12" s="500"/>
      <c r="BR12" s="152"/>
    </row>
    <row r="13" spans="1:70" ht="15" customHeight="1">
      <c r="A13" s="549" t="s">
        <v>261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8" t="s">
        <v>344</v>
      </c>
      <c r="M13" s="548"/>
      <c r="N13" s="548"/>
      <c r="O13" s="548"/>
      <c r="P13" s="153"/>
      <c r="Q13" s="500"/>
      <c r="R13" s="500"/>
      <c r="S13" s="500"/>
      <c r="T13" s="500"/>
      <c r="U13" s="500"/>
      <c r="V13" s="152"/>
      <c r="W13" s="153"/>
      <c r="X13" s="500"/>
      <c r="Y13" s="500"/>
      <c r="Z13" s="500"/>
      <c r="AA13" s="500"/>
      <c r="AB13" s="152"/>
      <c r="AC13" s="153"/>
      <c r="AD13" s="500"/>
      <c r="AE13" s="500"/>
      <c r="AF13" s="500"/>
      <c r="AG13" s="500"/>
      <c r="AH13" s="500"/>
      <c r="AI13" s="152"/>
      <c r="AJ13" s="153"/>
      <c r="AK13" s="500"/>
      <c r="AL13" s="500"/>
      <c r="AM13" s="500"/>
      <c r="AN13" s="500"/>
      <c r="AO13" s="152"/>
      <c r="AP13" s="153"/>
      <c r="AQ13" s="500">
        <v>205</v>
      </c>
      <c r="AR13" s="500"/>
      <c r="AS13" s="500"/>
      <c r="AT13" s="500"/>
      <c r="AU13" s="500"/>
      <c r="AV13" s="152"/>
      <c r="AW13" s="153"/>
      <c r="AX13" s="500"/>
      <c r="AY13" s="500"/>
      <c r="AZ13" s="500"/>
      <c r="BA13" s="500"/>
      <c r="BB13" s="500"/>
      <c r="BC13" s="152"/>
      <c r="BD13" s="153"/>
      <c r="BE13" s="500"/>
      <c r="BF13" s="500"/>
      <c r="BG13" s="500"/>
      <c r="BH13" s="500"/>
      <c r="BI13" s="152"/>
      <c r="BJ13" s="153"/>
      <c r="BK13" s="500">
        <f>SUM(Q13,X13,AD13,AK13,AQ13,AX13,BE13)</f>
        <v>205</v>
      </c>
      <c r="BL13" s="500"/>
      <c r="BM13" s="500"/>
      <c r="BN13" s="500"/>
      <c r="BO13" s="500"/>
      <c r="BP13" s="500"/>
      <c r="BQ13" s="500"/>
      <c r="BR13" s="152"/>
    </row>
    <row r="14" spans="1:70" ht="15" customHeight="1">
      <c r="A14" s="550" t="s">
        <v>262</v>
      </c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48">
        <v>4110</v>
      </c>
      <c r="M14" s="548"/>
      <c r="N14" s="548"/>
      <c r="O14" s="548"/>
      <c r="P14" s="77"/>
      <c r="Q14" s="508"/>
      <c r="R14" s="508"/>
      <c r="S14" s="508"/>
      <c r="T14" s="508"/>
      <c r="U14" s="508"/>
      <c r="V14" s="73"/>
      <c r="W14" s="77"/>
      <c r="X14" s="508">
        <v>80</v>
      </c>
      <c r="Y14" s="508"/>
      <c r="Z14" s="508"/>
      <c r="AA14" s="508"/>
      <c r="AB14" s="73"/>
      <c r="AC14" s="77"/>
      <c r="AD14" s="508"/>
      <c r="AE14" s="508"/>
      <c r="AF14" s="508"/>
      <c r="AG14" s="508"/>
      <c r="AH14" s="508"/>
      <c r="AI14" s="73"/>
      <c r="AJ14" s="77"/>
      <c r="AK14" s="508"/>
      <c r="AL14" s="508"/>
      <c r="AM14" s="508"/>
      <c r="AN14" s="508"/>
      <c r="AO14" s="73"/>
      <c r="AP14" s="77"/>
      <c r="AQ14" s="508"/>
      <c r="AR14" s="508"/>
      <c r="AS14" s="508"/>
      <c r="AT14" s="508"/>
      <c r="AU14" s="508"/>
      <c r="AV14" s="73"/>
      <c r="AW14" s="77"/>
      <c r="AX14" s="508"/>
      <c r="AY14" s="508"/>
      <c r="AZ14" s="508"/>
      <c r="BA14" s="508"/>
      <c r="BB14" s="508"/>
      <c r="BC14" s="73"/>
      <c r="BD14" s="77"/>
      <c r="BE14" s="508"/>
      <c r="BF14" s="508"/>
      <c r="BG14" s="508"/>
      <c r="BH14" s="508"/>
      <c r="BI14" s="73"/>
      <c r="BJ14" s="77"/>
      <c r="BK14" s="500">
        <f>SUM(Q14,X14,AD14,AK14,AQ14,AX14,BE14)</f>
        <v>80</v>
      </c>
      <c r="BL14" s="500"/>
      <c r="BM14" s="500"/>
      <c r="BN14" s="500"/>
      <c r="BO14" s="500"/>
      <c r="BP14" s="500"/>
      <c r="BQ14" s="500"/>
      <c r="BR14" s="73"/>
    </row>
    <row r="15" spans="1:70" ht="29.25" customHeight="1">
      <c r="A15" s="505" t="s">
        <v>345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7"/>
      <c r="L15" s="510">
        <v>4200</v>
      </c>
      <c r="M15" s="510"/>
      <c r="N15" s="510"/>
      <c r="O15" s="510"/>
      <c r="P15" s="77"/>
      <c r="Q15" s="72"/>
      <c r="R15" s="72"/>
      <c r="S15" s="72"/>
      <c r="T15" s="72"/>
      <c r="U15" s="72"/>
      <c r="V15" s="73"/>
      <c r="W15" s="74"/>
      <c r="X15" s="75"/>
      <c r="Y15" s="75"/>
      <c r="Z15" s="75"/>
      <c r="AA15" s="75"/>
      <c r="AB15" s="76"/>
      <c r="AC15" s="77"/>
      <c r="AD15" s="72"/>
      <c r="AE15" s="72"/>
      <c r="AF15" s="72"/>
      <c r="AG15" s="72"/>
      <c r="AH15" s="72"/>
      <c r="AI15" s="73"/>
      <c r="AJ15" s="77"/>
      <c r="AK15" s="72"/>
      <c r="AL15" s="72"/>
      <c r="AM15" s="72"/>
      <c r="AN15" s="72"/>
      <c r="AO15" s="73"/>
      <c r="AP15" s="77"/>
      <c r="AQ15" s="72"/>
      <c r="AR15" s="72"/>
      <c r="AS15" s="72"/>
      <c r="AT15" s="72"/>
      <c r="AU15" s="72"/>
      <c r="AV15" s="73"/>
      <c r="AW15" s="77"/>
      <c r="AX15" s="72"/>
      <c r="AY15" s="72"/>
      <c r="AZ15" s="72"/>
      <c r="BA15" s="72"/>
      <c r="BB15" s="72"/>
      <c r="BC15" s="73"/>
      <c r="BD15" s="77"/>
      <c r="BE15" s="72"/>
      <c r="BF15" s="72"/>
      <c r="BG15" s="72"/>
      <c r="BH15" s="72"/>
      <c r="BI15" s="73"/>
      <c r="BJ15" s="77"/>
      <c r="BK15" s="72"/>
      <c r="BL15" s="72"/>
      <c r="BM15" s="72"/>
      <c r="BN15" s="72"/>
      <c r="BO15" s="72"/>
      <c r="BP15" s="72"/>
      <c r="BQ15" s="72"/>
      <c r="BR15" s="73"/>
    </row>
    <row r="16" spans="1:70" ht="40.5" customHeight="1">
      <c r="A16" s="501" t="s">
        <v>346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3"/>
      <c r="L16" s="513"/>
      <c r="M16" s="513"/>
      <c r="N16" s="513"/>
      <c r="O16" s="513"/>
      <c r="P16" s="81"/>
      <c r="Q16" s="497"/>
      <c r="R16" s="497"/>
      <c r="S16" s="497"/>
      <c r="T16" s="497"/>
      <c r="U16" s="497"/>
      <c r="V16" s="78"/>
      <c r="W16" s="79"/>
      <c r="X16" s="516"/>
      <c r="Y16" s="516"/>
      <c r="Z16" s="516"/>
      <c r="AA16" s="516"/>
      <c r="AB16" s="80"/>
      <c r="AC16" s="81"/>
      <c r="AD16" s="497"/>
      <c r="AE16" s="497"/>
      <c r="AF16" s="497"/>
      <c r="AG16" s="497"/>
      <c r="AH16" s="497"/>
      <c r="AI16" s="78"/>
      <c r="AJ16" s="81"/>
      <c r="AK16" s="497"/>
      <c r="AL16" s="497"/>
      <c r="AM16" s="497"/>
      <c r="AN16" s="497"/>
      <c r="AO16" s="78"/>
      <c r="AP16" s="81"/>
      <c r="AQ16" s="497">
        <v>-15</v>
      </c>
      <c r="AR16" s="497"/>
      <c r="AS16" s="497"/>
      <c r="AT16" s="497"/>
      <c r="AU16" s="497"/>
      <c r="AV16" s="78"/>
      <c r="AW16" s="81"/>
      <c r="AX16" s="497"/>
      <c r="AY16" s="497"/>
      <c r="AZ16" s="497"/>
      <c r="BA16" s="497"/>
      <c r="BB16" s="497"/>
      <c r="BC16" s="78"/>
      <c r="BD16" s="81"/>
      <c r="BE16" s="497"/>
      <c r="BF16" s="497"/>
      <c r="BG16" s="497"/>
      <c r="BH16" s="497"/>
      <c r="BI16" s="78"/>
      <c r="BJ16" s="81"/>
      <c r="BK16" s="497">
        <f>SUM(Q16,X16,AD16,AK16,AQ16,AX16,BE16)</f>
        <v>-15</v>
      </c>
      <c r="BL16" s="497"/>
      <c r="BM16" s="497"/>
      <c r="BN16" s="497"/>
      <c r="BO16" s="497"/>
      <c r="BP16" s="497"/>
      <c r="BQ16" s="497"/>
      <c r="BR16" s="78"/>
    </row>
    <row r="17" spans="1:70" ht="50.25" customHeight="1">
      <c r="A17" s="515" t="s">
        <v>263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499">
        <v>4205</v>
      </c>
      <c r="M17" s="499"/>
      <c r="N17" s="499"/>
      <c r="O17" s="499"/>
      <c r="P17" s="153"/>
      <c r="Q17" s="500"/>
      <c r="R17" s="500"/>
      <c r="S17" s="500"/>
      <c r="T17" s="500"/>
      <c r="U17" s="500"/>
      <c r="V17" s="152"/>
      <c r="W17" s="153"/>
      <c r="X17" s="500"/>
      <c r="Y17" s="500"/>
      <c r="Z17" s="500"/>
      <c r="AA17" s="500"/>
      <c r="AB17" s="152"/>
      <c r="AC17" s="153"/>
      <c r="AD17" s="500"/>
      <c r="AE17" s="500"/>
      <c r="AF17" s="500"/>
      <c r="AG17" s="500"/>
      <c r="AH17" s="500"/>
      <c r="AI17" s="152"/>
      <c r="AJ17" s="153"/>
      <c r="AK17" s="500"/>
      <c r="AL17" s="500"/>
      <c r="AM17" s="500"/>
      <c r="AN17" s="500"/>
      <c r="AO17" s="152"/>
      <c r="AP17" s="153"/>
      <c r="AQ17" s="500"/>
      <c r="AR17" s="500"/>
      <c r="AS17" s="500"/>
      <c r="AT17" s="500"/>
      <c r="AU17" s="500"/>
      <c r="AV17" s="152"/>
      <c r="AW17" s="153"/>
      <c r="AX17" s="500"/>
      <c r="AY17" s="500"/>
      <c r="AZ17" s="500"/>
      <c r="BA17" s="500"/>
      <c r="BB17" s="500"/>
      <c r="BC17" s="152"/>
      <c r="BD17" s="153"/>
      <c r="BE17" s="500"/>
      <c r="BF17" s="500"/>
      <c r="BG17" s="500"/>
      <c r="BH17" s="500"/>
      <c r="BI17" s="152"/>
      <c r="BJ17" s="153"/>
      <c r="BK17" s="500">
        <f>SUM(Q17,X17,AD17,AK17,AQ17,AX17,BE17)</f>
        <v>0</v>
      </c>
      <c r="BL17" s="500"/>
      <c r="BM17" s="500"/>
      <c r="BN17" s="500"/>
      <c r="BO17" s="500"/>
      <c r="BP17" s="500"/>
      <c r="BQ17" s="500"/>
      <c r="BR17" s="152"/>
    </row>
    <row r="18" spans="1:70" ht="45" customHeight="1">
      <c r="A18" s="551" t="s">
        <v>264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3"/>
      <c r="L18" s="499">
        <v>4210</v>
      </c>
      <c r="M18" s="499"/>
      <c r="N18" s="499"/>
      <c r="O18" s="499"/>
      <c r="P18" s="153"/>
      <c r="Q18" s="500"/>
      <c r="R18" s="500"/>
      <c r="S18" s="500"/>
      <c r="T18" s="500"/>
      <c r="U18" s="500"/>
      <c r="V18" s="152"/>
      <c r="W18" s="153"/>
      <c r="X18" s="500"/>
      <c r="Y18" s="500"/>
      <c r="Z18" s="500"/>
      <c r="AA18" s="500"/>
      <c r="AB18" s="152"/>
      <c r="AC18" s="153"/>
      <c r="AD18" s="500"/>
      <c r="AE18" s="500"/>
      <c r="AF18" s="500"/>
      <c r="AG18" s="500"/>
      <c r="AH18" s="500"/>
      <c r="AI18" s="152"/>
      <c r="AJ18" s="153"/>
      <c r="AK18" s="500"/>
      <c r="AL18" s="500"/>
      <c r="AM18" s="500"/>
      <c r="AN18" s="500"/>
      <c r="AO18" s="152"/>
      <c r="AP18" s="153"/>
      <c r="AQ18" s="500"/>
      <c r="AR18" s="500"/>
      <c r="AS18" s="500"/>
      <c r="AT18" s="500"/>
      <c r="AU18" s="500"/>
      <c r="AV18" s="152"/>
      <c r="AW18" s="153"/>
      <c r="AX18" s="500"/>
      <c r="AY18" s="500"/>
      <c r="AZ18" s="500"/>
      <c r="BA18" s="500"/>
      <c r="BB18" s="500"/>
      <c r="BC18" s="152"/>
      <c r="BD18" s="153"/>
      <c r="BE18" s="500"/>
      <c r="BF18" s="500"/>
      <c r="BG18" s="500"/>
      <c r="BH18" s="500"/>
      <c r="BI18" s="152"/>
      <c r="BJ18" s="153"/>
      <c r="BK18" s="500">
        <f>SUM(Q18,X18,AD18,AK18,AQ18,AX18,BE18)</f>
        <v>0</v>
      </c>
      <c r="BL18" s="500"/>
      <c r="BM18" s="500"/>
      <c r="BN18" s="500"/>
      <c r="BO18" s="500"/>
      <c r="BP18" s="500"/>
      <c r="BQ18" s="500"/>
      <c r="BR18" s="152"/>
    </row>
    <row r="19" spans="1:70" ht="25.5" customHeight="1">
      <c r="A19" s="505" t="s">
        <v>347</v>
      </c>
      <c r="B19" s="506"/>
      <c r="C19" s="506"/>
      <c r="D19" s="506"/>
      <c r="E19" s="506"/>
      <c r="F19" s="506"/>
      <c r="G19" s="506"/>
      <c r="H19" s="506"/>
      <c r="I19" s="506"/>
      <c r="J19" s="506"/>
      <c r="K19" s="507"/>
      <c r="L19" s="509">
        <v>4240</v>
      </c>
      <c r="M19" s="510"/>
      <c r="N19" s="510"/>
      <c r="O19" s="511"/>
      <c r="P19" s="77"/>
      <c r="Q19" s="72"/>
      <c r="R19" s="72"/>
      <c r="S19" s="72"/>
      <c r="T19" s="72"/>
      <c r="U19" s="72"/>
      <c r="V19" s="73"/>
      <c r="W19" s="77"/>
      <c r="X19" s="72"/>
      <c r="Y19" s="72"/>
      <c r="Z19" s="72"/>
      <c r="AA19" s="72"/>
      <c r="AB19" s="73"/>
      <c r="AC19" s="77"/>
      <c r="AD19" s="72"/>
      <c r="AE19" s="72"/>
      <c r="AF19" s="72"/>
      <c r="AG19" s="72"/>
      <c r="AH19" s="72"/>
      <c r="AI19" s="73"/>
      <c r="AJ19" s="77"/>
      <c r="AK19" s="72"/>
      <c r="AL19" s="72"/>
      <c r="AM19" s="72"/>
      <c r="AN19" s="72"/>
      <c r="AO19" s="73"/>
      <c r="AP19" s="77"/>
      <c r="AQ19" s="72"/>
      <c r="AR19" s="72"/>
      <c r="AS19" s="72"/>
      <c r="AT19" s="72"/>
      <c r="AU19" s="72"/>
      <c r="AV19" s="73"/>
      <c r="AW19" s="77"/>
      <c r="AX19" s="72"/>
      <c r="AY19" s="72"/>
      <c r="AZ19" s="72"/>
      <c r="BA19" s="72"/>
      <c r="BB19" s="72"/>
      <c r="BC19" s="73"/>
      <c r="BD19" s="77"/>
      <c r="BE19" s="72"/>
      <c r="BF19" s="72"/>
      <c r="BG19" s="72"/>
      <c r="BH19" s="72"/>
      <c r="BI19" s="73"/>
      <c r="BJ19" s="77"/>
      <c r="BK19" s="508"/>
      <c r="BL19" s="508"/>
      <c r="BM19" s="508"/>
      <c r="BN19" s="508"/>
      <c r="BO19" s="508"/>
      <c r="BP19" s="508"/>
      <c r="BQ19" s="508"/>
      <c r="BR19" s="73"/>
    </row>
    <row r="20" spans="1:70" ht="12.75" customHeight="1">
      <c r="A20" s="501" t="s">
        <v>348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3"/>
      <c r="L20" s="512"/>
      <c r="M20" s="513"/>
      <c r="N20" s="513"/>
      <c r="O20" s="514"/>
      <c r="P20" s="81"/>
      <c r="Q20" s="497">
        <v>450</v>
      </c>
      <c r="R20" s="497"/>
      <c r="S20" s="497"/>
      <c r="T20" s="497"/>
      <c r="U20" s="497"/>
      <c r="V20" s="78"/>
      <c r="W20" s="81"/>
      <c r="X20" s="497"/>
      <c r="Y20" s="497"/>
      <c r="Z20" s="497"/>
      <c r="AA20" s="497"/>
      <c r="AB20" s="78"/>
      <c r="AC20" s="81"/>
      <c r="AD20" s="497"/>
      <c r="AE20" s="497"/>
      <c r="AF20" s="497"/>
      <c r="AG20" s="497"/>
      <c r="AH20" s="497"/>
      <c r="AI20" s="78"/>
      <c r="AJ20" s="81"/>
      <c r="AK20" s="497"/>
      <c r="AL20" s="497"/>
      <c r="AM20" s="497"/>
      <c r="AN20" s="497"/>
      <c r="AO20" s="78"/>
      <c r="AP20" s="81"/>
      <c r="AQ20" s="497"/>
      <c r="AR20" s="497"/>
      <c r="AS20" s="497"/>
      <c r="AT20" s="497"/>
      <c r="AU20" s="497"/>
      <c r="AV20" s="78"/>
      <c r="AW20" s="81"/>
      <c r="AX20" s="497">
        <v>-450</v>
      </c>
      <c r="AY20" s="497"/>
      <c r="AZ20" s="497"/>
      <c r="BA20" s="497"/>
      <c r="BB20" s="497"/>
      <c r="BC20" s="78"/>
      <c r="BD20" s="81"/>
      <c r="BE20" s="497"/>
      <c r="BF20" s="497"/>
      <c r="BG20" s="497"/>
      <c r="BH20" s="497"/>
      <c r="BI20" s="78"/>
      <c r="BJ20" s="81"/>
      <c r="BK20" s="497">
        <f>SUM(Q20,X20,AD20,AK20,AQ20,AX20,BE20)</f>
        <v>0</v>
      </c>
      <c r="BL20" s="497"/>
      <c r="BM20" s="497"/>
      <c r="BN20" s="497"/>
      <c r="BO20" s="497"/>
      <c r="BP20" s="497"/>
      <c r="BQ20" s="497"/>
      <c r="BR20" s="78"/>
    </row>
    <row r="21" spans="1:70" ht="38.25" customHeight="1">
      <c r="A21" s="504" t="s">
        <v>265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499">
        <v>4245</v>
      </c>
      <c r="M21" s="499"/>
      <c r="N21" s="499"/>
      <c r="O21" s="499"/>
      <c r="P21" s="153"/>
      <c r="Q21" s="500"/>
      <c r="R21" s="500"/>
      <c r="S21" s="500"/>
      <c r="T21" s="500"/>
      <c r="U21" s="500"/>
      <c r="V21" s="152"/>
      <c r="W21" s="153"/>
      <c r="X21" s="500"/>
      <c r="Y21" s="500"/>
      <c r="Z21" s="500"/>
      <c r="AA21" s="500"/>
      <c r="AB21" s="152"/>
      <c r="AC21" s="153"/>
      <c r="AD21" s="500"/>
      <c r="AE21" s="500"/>
      <c r="AF21" s="500"/>
      <c r="AG21" s="500"/>
      <c r="AH21" s="500"/>
      <c r="AI21" s="152"/>
      <c r="AJ21" s="153"/>
      <c r="AK21" s="500"/>
      <c r="AL21" s="500"/>
      <c r="AM21" s="500"/>
      <c r="AN21" s="500"/>
      <c r="AO21" s="152"/>
      <c r="AP21" s="153"/>
      <c r="AQ21" s="500"/>
      <c r="AR21" s="500"/>
      <c r="AS21" s="500"/>
      <c r="AT21" s="500"/>
      <c r="AU21" s="500"/>
      <c r="AV21" s="152"/>
      <c r="AW21" s="153"/>
      <c r="AX21" s="500">
        <v>400</v>
      </c>
      <c r="AY21" s="500"/>
      <c r="AZ21" s="500"/>
      <c r="BA21" s="500"/>
      <c r="BB21" s="500"/>
      <c r="BC21" s="152"/>
      <c r="BD21" s="153"/>
      <c r="BE21" s="500"/>
      <c r="BF21" s="500"/>
      <c r="BG21" s="500"/>
      <c r="BH21" s="500"/>
      <c r="BI21" s="152"/>
      <c r="BJ21" s="153"/>
      <c r="BK21" s="497">
        <f>SUM(Q21,X21,AD21,AK21,AQ21,AX21,BE21)</f>
        <v>400</v>
      </c>
      <c r="BL21" s="497"/>
      <c r="BM21" s="497"/>
      <c r="BN21" s="497"/>
      <c r="BO21" s="497"/>
      <c r="BP21" s="497"/>
      <c r="BQ21" s="497"/>
      <c r="BR21" s="152"/>
    </row>
    <row r="22" spans="1:70" ht="26.25" customHeight="1">
      <c r="A22" s="505" t="s">
        <v>349</v>
      </c>
      <c r="B22" s="506"/>
      <c r="C22" s="506"/>
      <c r="D22" s="506"/>
      <c r="E22" s="506"/>
      <c r="F22" s="506"/>
      <c r="G22" s="506"/>
      <c r="H22" s="506"/>
      <c r="I22" s="506"/>
      <c r="J22" s="506"/>
      <c r="K22" s="507"/>
      <c r="L22" s="509">
        <v>4260</v>
      </c>
      <c r="M22" s="510"/>
      <c r="N22" s="510"/>
      <c r="O22" s="511"/>
      <c r="P22" s="77"/>
      <c r="Q22" s="72"/>
      <c r="R22" s="72"/>
      <c r="S22" s="72"/>
      <c r="T22" s="72"/>
      <c r="U22" s="72"/>
      <c r="V22" s="73"/>
      <c r="W22" s="77"/>
      <c r="X22" s="72"/>
      <c r="Y22" s="72"/>
      <c r="Z22" s="72"/>
      <c r="AA22" s="72"/>
      <c r="AB22" s="73"/>
      <c r="AC22" s="77"/>
      <c r="AD22" s="72"/>
      <c r="AE22" s="72"/>
      <c r="AF22" s="72"/>
      <c r="AG22" s="72"/>
      <c r="AH22" s="72"/>
      <c r="AI22" s="73"/>
      <c r="AJ22" s="77"/>
      <c r="AK22" s="72"/>
      <c r="AL22" s="72"/>
      <c r="AM22" s="72"/>
      <c r="AN22" s="72"/>
      <c r="AO22" s="73"/>
      <c r="AP22" s="77"/>
      <c r="AQ22" s="72"/>
      <c r="AR22" s="72"/>
      <c r="AS22" s="72"/>
      <c r="AT22" s="72"/>
      <c r="AU22" s="72"/>
      <c r="AV22" s="73"/>
      <c r="AW22" s="77"/>
      <c r="AX22" s="72"/>
      <c r="AY22" s="72"/>
      <c r="AZ22" s="72"/>
      <c r="BA22" s="72"/>
      <c r="BB22" s="72"/>
      <c r="BC22" s="73"/>
      <c r="BD22" s="77"/>
      <c r="BE22" s="72"/>
      <c r="BF22" s="72"/>
      <c r="BG22" s="72"/>
      <c r="BH22" s="72"/>
      <c r="BI22" s="73"/>
      <c r="BJ22" s="77"/>
      <c r="BK22" s="72"/>
      <c r="BL22" s="72"/>
      <c r="BM22" s="72"/>
      <c r="BN22" s="72"/>
      <c r="BO22" s="72"/>
      <c r="BP22" s="72"/>
      <c r="BQ22" s="72"/>
      <c r="BR22" s="73"/>
    </row>
    <row r="23" spans="1:70" ht="25.5" customHeight="1">
      <c r="A23" s="501" t="s">
        <v>350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3"/>
      <c r="L23" s="512"/>
      <c r="M23" s="513"/>
      <c r="N23" s="513"/>
      <c r="O23" s="514"/>
      <c r="P23" s="81"/>
      <c r="Q23" s="497"/>
      <c r="R23" s="497"/>
      <c r="S23" s="497"/>
      <c r="T23" s="497"/>
      <c r="U23" s="497"/>
      <c r="V23" s="78"/>
      <c r="W23" s="81"/>
      <c r="X23" s="497"/>
      <c r="Y23" s="497"/>
      <c r="Z23" s="497"/>
      <c r="AA23" s="497"/>
      <c r="AB23" s="78"/>
      <c r="AC23" s="81"/>
      <c r="AD23" s="497"/>
      <c r="AE23" s="497"/>
      <c r="AF23" s="497"/>
      <c r="AG23" s="497"/>
      <c r="AH23" s="497"/>
      <c r="AI23" s="78"/>
      <c r="AJ23" s="81"/>
      <c r="AK23" s="497"/>
      <c r="AL23" s="497"/>
      <c r="AM23" s="497"/>
      <c r="AN23" s="497"/>
      <c r="AO23" s="78"/>
      <c r="AP23" s="81"/>
      <c r="AQ23" s="497"/>
      <c r="AR23" s="497"/>
      <c r="AS23" s="497"/>
      <c r="AT23" s="497"/>
      <c r="AU23" s="497"/>
      <c r="AV23" s="78"/>
      <c r="AW23" s="81"/>
      <c r="AX23" s="497"/>
      <c r="AY23" s="497"/>
      <c r="AZ23" s="497"/>
      <c r="BA23" s="497"/>
      <c r="BB23" s="497"/>
      <c r="BC23" s="78"/>
      <c r="BD23" s="81"/>
      <c r="BE23" s="497"/>
      <c r="BF23" s="497"/>
      <c r="BG23" s="497"/>
      <c r="BH23" s="497"/>
      <c r="BI23" s="78"/>
      <c r="BJ23" s="81"/>
      <c r="BK23" s="497">
        <f>SUM(Q23,X23,AD23,AK23,AQ23,AX23,BE23)</f>
        <v>0</v>
      </c>
      <c r="BL23" s="497"/>
      <c r="BM23" s="497"/>
      <c r="BN23" s="497"/>
      <c r="BO23" s="497"/>
      <c r="BP23" s="497"/>
      <c r="BQ23" s="497"/>
      <c r="BR23" s="78"/>
    </row>
    <row r="24" spans="1:70" ht="25.5" customHeight="1">
      <c r="A24" s="498" t="s">
        <v>266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9">
        <v>4265</v>
      </c>
      <c r="M24" s="499"/>
      <c r="N24" s="499"/>
      <c r="O24" s="499"/>
      <c r="P24" s="153"/>
      <c r="Q24" s="500"/>
      <c r="R24" s="500"/>
      <c r="S24" s="500"/>
      <c r="T24" s="500"/>
      <c r="U24" s="500"/>
      <c r="V24" s="152"/>
      <c r="W24" s="153"/>
      <c r="X24" s="500"/>
      <c r="Y24" s="500"/>
      <c r="Z24" s="500"/>
      <c r="AA24" s="500"/>
      <c r="AB24" s="152"/>
      <c r="AC24" s="153"/>
      <c r="AD24" s="500"/>
      <c r="AE24" s="500"/>
      <c r="AF24" s="500"/>
      <c r="AG24" s="500"/>
      <c r="AH24" s="500"/>
      <c r="AI24" s="152"/>
      <c r="AJ24" s="153"/>
      <c r="AK24" s="500"/>
      <c r="AL24" s="500"/>
      <c r="AM24" s="500"/>
      <c r="AN24" s="500"/>
      <c r="AO24" s="152"/>
      <c r="AP24" s="153"/>
      <c r="AQ24" s="500"/>
      <c r="AR24" s="500"/>
      <c r="AS24" s="500"/>
      <c r="AT24" s="500"/>
      <c r="AU24" s="500"/>
      <c r="AV24" s="152"/>
      <c r="AW24" s="153"/>
      <c r="AX24" s="500"/>
      <c r="AY24" s="500"/>
      <c r="AZ24" s="500"/>
      <c r="BA24" s="500"/>
      <c r="BB24" s="500"/>
      <c r="BC24" s="152"/>
      <c r="BD24" s="153"/>
      <c r="BE24" s="500"/>
      <c r="BF24" s="500"/>
      <c r="BG24" s="500"/>
      <c r="BH24" s="500"/>
      <c r="BI24" s="152"/>
      <c r="BJ24" s="153"/>
      <c r="BK24" s="497">
        <f>SUM(Q24,X24,AD24,AK24,AQ24,AX24,BE24)</f>
        <v>0</v>
      </c>
      <c r="BL24" s="497"/>
      <c r="BM24" s="497"/>
      <c r="BN24" s="497"/>
      <c r="BO24" s="497"/>
      <c r="BP24" s="497"/>
      <c r="BQ24" s="497"/>
      <c r="BR24" s="152"/>
    </row>
    <row r="25" spans="1:70" ht="25.5" customHeight="1">
      <c r="A25" s="370" t="s">
        <v>267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496">
        <v>4270</v>
      </c>
      <c r="M25" s="496"/>
      <c r="N25" s="496"/>
      <c r="O25" s="496"/>
      <c r="P25" s="154"/>
      <c r="Q25" s="488"/>
      <c r="R25" s="488"/>
      <c r="S25" s="488"/>
      <c r="T25" s="488"/>
      <c r="U25" s="488"/>
      <c r="V25" s="155"/>
      <c r="W25" s="154"/>
      <c r="X25" s="488"/>
      <c r="Y25" s="488"/>
      <c r="Z25" s="488"/>
      <c r="AA25" s="488"/>
      <c r="AB25" s="155"/>
      <c r="AC25" s="154"/>
      <c r="AD25" s="488"/>
      <c r="AE25" s="488"/>
      <c r="AF25" s="488"/>
      <c r="AG25" s="488"/>
      <c r="AH25" s="488"/>
      <c r="AI25" s="155"/>
      <c r="AJ25" s="154"/>
      <c r="AK25" s="488"/>
      <c r="AL25" s="488"/>
      <c r="AM25" s="488"/>
      <c r="AN25" s="488"/>
      <c r="AO25" s="155"/>
      <c r="AP25" s="154"/>
      <c r="AQ25" s="488"/>
      <c r="AR25" s="488"/>
      <c r="AS25" s="488"/>
      <c r="AT25" s="488"/>
      <c r="AU25" s="488"/>
      <c r="AV25" s="155"/>
      <c r="AW25" s="154"/>
      <c r="AX25" s="488"/>
      <c r="AY25" s="488"/>
      <c r="AZ25" s="488"/>
      <c r="BA25" s="488"/>
      <c r="BB25" s="488"/>
      <c r="BC25" s="155"/>
      <c r="BD25" s="154"/>
      <c r="BE25" s="488"/>
      <c r="BF25" s="488"/>
      <c r="BG25" s="488"/>
      <c r="BH25" s="488"/>
      <c r="BI25" s="155"/>
      <c r="BJ25" s="154"/>
      <c r="BK25" s="488">
        <f aca="true" t="shared" si="0" ref="BK25:BK30">SUM(Q25,X25,AD25,AK25,AQ25,AX25,BE25)</f>
        <v>0</v>
      </c>
      <c r="BL25" s="488"/>
      <c r="BM25" s="488"/>
      <c r="BN25" s="488"/>
      <c r="BO25" s="488"/>
      <c r="BP25" s="488"/>
      <c r="BQ25" s="488"/>
      <c r="BR25" s="155"/>
    </row>
    <row r="26" spans="1:70" ht="24.75" customHeight="1">
      <c r="A26" s="370" t="s">
        <v>268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496">
        <v>4275</v>
      </c>
      <c r="M26" s="496"/>
      <c r="N26" s="496"/>
      <c r="O26" s="496"/>
      <c r="P26" s="154"/>
      <c r="Q26" s="488"/>
      <c r="R26" s="488"/>
      <c r="S26" s="488"/>
      <c r="T26" s="488"/>
      <c r="U26" s="488"/>
      <c r="V26" s="155"/>
      <c r="W26" s="154"/>
      <c r="X26" s="488"/>
      <c r="Y26" s="488"/>
      <c r="Z26" s="488"/>
      <c r="AA26" s="488"/>
      <c r="AB26" s="155"/>
      <c r="AC26" s="154"/>
      <c r="AD26" s="488"/>
      <c r="AE26" s="488"/>
      <c r="AF26" s="488"/>
      <c r="AG26" s="488"/>
      <c r="AH26" s="488"/>
      <c r="AI26" s="155"/>
      <c r="AJ26" s="154"/>
      <c r="AK26" s="488"/>
      <c r="AL26" s="488"/>
      <c r="AM26" s="488"/>
      <c r="AN26" s="488"/>
      <c r="AO26" s="155"/>
      <c r="AP26" s="154"/>
      <c r="AQ26" s="488"/>
      <c r="AR26" s="488"/>
      <c r="AS26" s="488"/>
      <c r="AT26" s="488"/>
      <c r="AU26" s="488"/>
      <c r="AV26" s="155"/>
      <c r="AW26" s="154"/>
      <c r="AX26" s="488"/>
      <c r="AY26" s="488"/>
      <c r="AZ26" s="488"/>
      <c r="BA26" s="488"/>
      <c r="BB26" s="488"/>
      <c r="BC26" s="155"/>
      <c r="BD26" s="154"/>
      <c r="BE26" s="488"/>
      <c r="BF26" s="488"/>
      <c r="BG26" s="488"/>
      <c r="BH26" s="488"/>
      <c r="BI26" s="155"/>
      <c r="BJ26" s="154"/>
      <c r="BK26" s="488">
        <f t="shared" si="0"/>
        <v>0</v>
      </c>
      <c r="BL26" s="488"/>
      <c r="BM26" s="488"/>
      <c r="BN26" s="488"/>
      <c r="BO26" s="488"/>
      <c r="BP26" s="488"/>
      <c r="BQ26" s="488"/>
      <c r="BR26" s="155"/>
    </row>
    <row r="27" spans="1:70" ht="39" customHeight="1">
      <c r="A27" s="370" t="s">
        <v>351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496" t="s">
        <v>352</v>
      </c>
      <c r="M27" s="496"/>
      <c r="N27" s="496"/>
      <c r="O27" s="496"/>
      <c r="P27" s="154"/>
      <c r="Q27" s="488"/>
      <c r="R27" s="488"/>
      <c r="S27" s="488"/>
      <c r="T27" s="488"/>
      <c r="U27" s="488"/>
      <c r="V27" s="155"/>
      <c r="W27" s="154"/>
      <c r="X27" s="488"/>
      <c r="Y27" s="488"/>
      <c r="Z27" s="488"/>
      <c r="AA27" s="488"/>
      <c r="AB27" s="155"/>
      <c r="AC27" s="154"/>
      <c r="AD27" s="488"/>
      <c r="AE27" s="488"/>
      <c r="AF27" s="488"/>
      <c r="AG27" s="488"/>
      <c r="AH27" s="488"/>
      <c r="AI27" s="155"/>
      <c r="AJ27" s="154"/>
      <c r="AK27" s="488"/>
      <c r="AL27" s="488"/>
      <c r="AM27" s="488"/>
      <c r="AN27" s="488"/>
      <c r="AO27" s="155"/>
      <c r="AP27" s="154"/>
      <c r="AQ27" s="488"/>
      <c r="AR27" s="488"/>
      <c r="AS27" s="488"/>
      <c r="AT27" s="488"/>
      <c r="AU27" s="488"/>
      <c r="AV27" s="155"/>
      <c r="AW27" s="154"/>
      <c r="AX27" s="488"/>
      <c r="AY27" s="488"/>
      <c r="AZ27" s="488"/>
      <c r="BA27" s="488"/>
      <c r="BB27" s="488"/>
      <c r="BC27" s="155"/>
      <c r="BD27" s="154"/>
      <c r="BE27" s="488"/>
      <c r="BF27" s="488"/>
      <c r="BG27" s="488"/>
      <c r="BH27" s="488"/>
      <c r="BI27" s="155"/>
      <c r="BJ27" s="154"/>
      <c r="BK27" s="488">
        <f t="shared" si="0"/>
        <v>0</v>
      </c>
      <c r="BL27" s="488"/>
      <c r="BM27" s="488"/>
      <c r="BN27" s="488"/>
      <c r="BO27" s="488"/>
      <c r="BP27" s="488"/>
      <c r="BQ27" s="488"/>
      <c r="BR27" s="155"/>
    </row>
    <row r="28" spans="1:70" ht="26.25" customHeight="1">
      <c r="A28" s="370" t="s">
        <v>269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496">
        <v>4290</v>
      </c>
      <c r="M28" s="496"/>
      <c r="N28" s="496"/>
      <c r="O28" s="496"/>
      <c r="P28" s="154"/>
      <c r="Q28" s="488"/>
      <c r="R28" s="488"/>
      <c r="S28" s="488"/>
      <c r="T28" s="488"/>
      <c r="U28" s="488"/>
      <c r="V28" s="155"/>
      <c r="W28" s="154"/>
      <c r="X28" s="488"/>
      <c r="Y28" s="488"/>
      <c r="Z28" s="488"/>
      <c r="AA28" s="488"/>
      <c r="AB28" s="155"/>
      <c r="AC28" s="154"/>
      <c r="AD28" s="488"/>
      <c r="AE28" s="488"/>
      <c r="AF28" s="488"/>
      <c r="AG28" s="488"/>
      <c r="AH28" s="488"/>
      <c r="AI28" s="155"/>
      <c r="AJ28" s="154"/>
      <c r="AK28" s="488"/>
      <c r="AL28" s="488"/>
      <c r="AM28" s="488"/>
      <c r="AN28" s="488"/>
      <c r="AO28" s="155"/>
      <c r="AP28" s="154"/>
      <c r="AQ28" s="488"/>
      <c r="AR28" s="488"/>
      <c r="AS28" s="488"/>
      <c r="AT28" s="488"/>
      <c r="AU28" s="488"/>
      <c r="AV28" s="155"/>
      <c r="AW28" s="154"/>
      <c r="AX28" s="488"/>
      <c r="AY28" s="488"/>
      <c r="AZ28" s="488"/>
      <c r="BA28" s="488"/>
      <c r="BB28" s="488"/>
      <c r="BC28" s="155"/>
      <c r="BD28" s="154"/>
      <c r="BE28" s="488"/>
      <c r="BF28" s="488"/>
      <c r="BG28" s="488"/>
      <c r="BH28" s="488"/>
      <c r="BI28" s="155"/>
      <c r="BJ28" s="154"/>
      <c r="BK28" s="488">
        <f t="shared" si="0"/>
        <v>0</v>
      </c>
      <c r="BL28" s="488"/>
      <c r="BM28" s="488"/>
      <c r="BN28" s="488"/>
      <c r="BO28" s="488"/>
      <c r="BP28" s="488"/>
      <c r="BQ28" s="488"/>
      <c r="BR28" s="155"/>
    </row>
    <row r="29" spans="1:70" ht="25.5" customHeight="1">
      <c r="A29" s="388" t="s">
        <v>270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495">
        <v>4295</v>
      </c>
      <c r="M29" s="495"/>
      <c r="N29" s="495"/>
      <c r="O29" s="495"/>
      <c r="P29" s="154"/>
      <c r="Q29" s="488">
        <f>SUM(Q13:U14,Q16:U18,Q20:U21,Q23:U24,Q25:U28)</f>
        <v>450</v>
      </c>
      <c r="R29" s="488"/>
      <c r="S29" s="488"/>
      <c r="T29" s="488"/>
      <c r="U29" s="488"/>
      <c r="V29" s="155"/>
      <c r="W29" s="154"/>
      <c r="X29" s="488">
        <f>SUM(X13:AA14,X16:AA18,X20:AA21,X23:AA24,X25:AA28)</f>
        <v>80</v>
      </c>
      <c r="Y29" s="488"/>
      <c r="Z29" s="488"/>
      <c r="AA29" s="488"/>
      <c r="AB29" s="155"/>
      <c r="AC29" s="154"/>
      <c r="AD29" s="488">
        <f>SUM(AD13:AH14,AD16:AH18,AD20:AH21,AD23:AH24,AD25:AH28)</f>
        <v>0</v>
      </c>
      <c r="AE29" s="488"/>
      <c r="AF29" s="488"/>
      <c r="AG29" s="488"/>
      <c r="AH29" s="488"/>
      <c r="AI29" s="155"/>
      <c r="AJ29" s="154"/>
      <c r="AK29" s="488">
        <f>SUM(AK13:AN14,AK16:AN18,AK20:AN21,AK23:AN24,AK25:AN28)</f>
        <v>0</v>
      </c>
      <c r="AL29" s="488"/>
      <c r="AM29" s="488"/>
      <c r="AN29" s="488"/>
      <c r="AO29" s="155"/>
      <c r="AP29" s="154"/>
      <c r="AQ29" s="488">
        <f>SUM(AQ13:AU14,AQ16:AU18,AQ20:AU21,AQ23:AU24,AQ25:AU28)</f>
        <v>190</v>
      </c>
      <c r="AR29" s="488"/>
      <c r="AS29" s="488"/>
      <c r="AT29" s="488"/>
      <c r="AU29" s="488"/>
      <c r="AV29" s="155"/>
      <c r="AW29" s="154"/>
      <c r="AX29" s="488">
        <f>SUM(AX13:BB14,AX16:BB18,AX20:BB21,AX23:BB24,AX25:BB28)</f>
        <v>-50</v>
      </c>
      <c r="AY29" s="488"/>
      <c r="AZ29" s="488"/>
      <c r="BA29" s="488"/>
      <c r="BB29" s="488"/>
      <c r="BC29" s="155"/>
      <c r="BD29" s="154"/>
      <c r="BE29" s="488">
        <f>SUM(BE13:BH14,BE16:BH18,BE20:BH21,BE23:BH24,BE25:BH28)</f>
        <v>0</v>
      </c>
      <c r="BF29" s="488"/>
      <c r="BG29" s="488"/>
      <c r="BH29" s="488"/>
      <c r="BI29" s="155"/>
      <c r="BJ29" s="154"/>
      <c r="BK29" s="488">
        <f t="shared" si="0"/>
        <v>670</v>
      </c>
      <c r="BL29" s="488"/>
      <c r="BM29" s="488"/>
      <c r="BN29" s="488"/>
      <c r="BO29" s="488"/>
      <c r="BP29" s="488"/>
      <c r="BQ29" s="488"/>
      <c r="BR29" s="155"/>
    </row>
    <row r="30" spans="1:70" ht="12.75">
      <c r="A30" s="489" t="s">
        <v>340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1"/>
      <c r="L30" s="379">
        <v>4300</v>
      </c>
      <c r="M30" s="380"/>
      <c r="N30" s="380"/>
      <c r="O30" s="381"/>
      <c r="P30" s="557"/>
      <c r="Q30" s="559">
        <f>SUM(Q12,Q29)</f>
        <v>2950</v>
      </c>
      <c r="R30" s="559"/>
      <c r="S30" s="559"/>
      <c r="T30" s="559"/>
      <c r="U30" s="559"/>
      <c r="V30" s="561"/>
      <c r="W30" s="557"/>
      <c r="X30" s="559">
        <f>SUM(X12,X29)</f>
        <v>225</v>
      </c>
      <c r="Y30" s="559"/>
      <c r="Z30" s="559"/>
      <c r="AA30" s="559"/>
      <c r="AB30" s="561"/>
      <c r="AC30" s="557"/>
      <c r="AD30" s="559">
        <f>SUM(AD12,AD29)</f>
        <v>0</v>
      </c>
      <c r="AE30" s="559"/>
      <c r="AF30" s="559"/>
      <c r="AG30" s="559"/>
      <c r="AH30" s="559"/>
      <c r="AI30" s="561"/>
      <c r="AJ30" s="557"/>
      <c r="AK30" s="559">
        <f>SUM(AK12,AK29)</f>
        <v>0</v>
      </c>
      <c r="AL30" s="559"/>
      <c r="AM30" s="559"/>
      <c r="AN30" s="559"/>
      <c r="AO30" s="561"/>
      <c r="AP30" s="557"/>
      <c r="AQ30" s="559">
        <f>SUM(AQ12,AQ29)</f>
        <v>1575</v>
      </c>
      <c r="AR30" s="559"/>
      <c r="AS30" s="559"/>
      <c r="AT30" s="559"/>
      <c r="AU30" s="559"/>
      <c r="AV30" s="561"/>
      <c r="AW30" s="557"/>
      <c r="AX30" s="559">
        <f>SUM(AX12,AX29)</f>
        <v>-50</v>
      </c>
      <c r="AY30" s="559"/>
      <c r="AZ30" s="559"/>
      <c r="BA30" s="559"/>
      <c r="BB30" s="559"/>
      <c r="BC30" s="561"/>
      <c r="BD30" s="557"/>
      <c r="BE30" s="559">
        <f>SUM(BE12,BE29)</f>
        <v>0</v>
      </c>
      <c r="BF30" s="559"/>
      <c r="BG30" s="559"/>
      <c r="BH30" s="559"/>
      <c r="BI30" s="561"/>
      <c r="BJ30" s="557"/>
      <c r="BK30" s="559">
        <f t="shared" si="0"/>
        <v>4700</v>
      </c>
      <c r="BL30" s="559"/>
      <c r="BM30" s="559"/>
      <c r="BN30" s="559"/>
      <c r="BO30" s="559"/>
      <c r="BP30" s="559"/>
      <c r="BQ30" s="559"/>
      <c r="BR30" s="561"/>
    </row>
    <row r="31" spans="1:70" ht="12.75" customHeight="1">
      <c r="A31" s="492" t="s">
        <v>353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4"/>
      <c r="L31" s="554"/>
      <c r="M31" s="555"/>
      <c r="N31" s="555"/>
      <c r="O31" s="556"/>
      <c r="P31" s="558"/>
      <c r="Q31" s="560"/>
      <c r="R31" s="560"/>
      <c r="S31" s="560"/>
      <c r="T31" s="560"/>
      <c r="U31" s="560"/>
      <c r="V31" s="562"/>
      <c r="W31" s="558"/>
      <c r="X31" s="560"/>
      <c r="Y31" s="560"/>
      <c r="Z31" s="560"/>
      <c r="AA31" s="560"/>
      <c r="AB31" s="562"/>
      <c r="AC31" s="558"/>
      <c r="AD31" s="560"/>
      <c r="AE31" s="560"/>
      <c r="AF31" s="560"/>
      <c r="AG31" s="560"/>
      <c r="AH31" s="560"/>
      <c r="AI31" s="562"/>
      <c r="AJ31" s="558"/>
      <c r="AK31" s="560"/>
      <c r="AL31" s="560"/>
      <c r="AM31" s="560"/>
      <c r="AN31" s="560"/>
      <c r="AO31" s="562"/>
      <c r="AP31" s="558"/>
      <c r="AQ31" s="560"/>
      <c r="AR31" s="560"/>
      <c r="AS31" s="560"/>
      <c r="AT31" s="560"/>
      <c r="AU31" s="560"/>
      <c r="AV31" s="562"/>
      <c r="AW31" s="558"/>
      <c r="AX31" s="560"/>
      <c r="AY31" s="560"/>
      <c r="AZ31" s="560"/>
      <c r="BA31" s="560"/>
      <c r="BB31" s="560"/>
      <c r="BC31" s="562"/>
      <c r="BD31" s="558"/>
      <c r="BE31" s="560"/>
      <c r="BF31" s="560"/>
      <c r="BG31" s="560"/>
      <c r="BH31" s="560"/>
      <c r="BI31" s="562"/>
      <c r="BJ31" s="558"/>
      <c r="BK31" s="560"/>
      <c r="BL31" s="560"/>
      <c r="BM31" s="560"/>
      <c r="BN31" s="560"/>
      <c r="BO31" s="560"/>
      <c r="BP31" s="560"/>
      <c r="BQ31" s="560"/>
      <c r="BR31" s="562"/>
    </row>
    <row r="32" spans="2:70" ht="12.75">
      <c r="B32" s="7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E32" s="82"/>
      <c r="AF32" s="82"/>
      <c r="AG32" s="82"/>
      <c r="AH32" s="82"/>
      <c r="AI32" s="82"/>
      <c r="AJ32" s="82"/>
      <c r="AK32" s="82"/>
      <c r="AL32" s="82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</row>
    <row r="33" spans="2:70" ht="12.75">
      <c r="B33" s="563" t="s">
        <v>201</v>
      </c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84"/>
      <c r="N33" s="84"/>
      <c r="O33" s="84"/>
      <c r="P33" s="84"/>
      <c r="Q33" s="8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84"/>
      <c r="AH33" s="84"/>
      <c r="AI33" s="564"/>
      <c r="AJ33" s="564"/>
      <c r="AK33" s="564"/>
      <c r="AL33" s="564"/>
      <c r="AM33" s="564"/>
      <c r="AN33" s="564"/>
      <c r="AO33" s="564"/>
      <c r="AP33" s="564"/>
      <c r="AQ33" s="564"/>
      <c r="AR33" s="564"/>
      <c r="AS33" s="564"/>
      <c r="AT33" s="564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</row>
    <row r="34" spans="1:70" ht="12.75">
      <c r="A34" s="83"/>
      <c r="B34" s="71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84"/>
      <c r="AH34" s="84"/>
      <c r="AI34" s="522"/>
      <c r="AJ34" s="522"/>
      <c r="AK34" s="522"/>
      <c r="AL34" s="522"/>
      <c r="AM34" s="522"/>
      <c r="AN34" s="522"/>
      <c r="AO34" s="522"/>
      <c r="AP34" s="522"/>
      <c r="AQ34" s="522"/>
      <c r="AR34" s="522"/>
      <c r="AS34" s="522"/>
      <c r="AT34" s="522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</row>
    <row r="35" spans="2:70" ht="12.75">
      <c r="B35" s="565" t="s">
        <v>202</v>
      </c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84"/>
      <c r="P35" s="84"/>
      <c r="Q35" s="84"/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64"/>
      <c r="AC35" s="564"/>
      <c r="AD35" s="564"/>
      <c r="AE35" s="564"/>
      <c r="AF35" s="564"/>
      <c r="AG35" s="84"/>
      <c r="AH35" s="84"/>
      <c r="AI35" s="564"/>
      <c r="AJ35" s="564"/>
      <c r="AK35" s="564"/>
      <c r="AL35" s="564"/>
      <c r="AM35" s="564"/>
      <c r="AN35" s="564"/>
      <c r="AO35" s="564"/>
      <c r="AP35" s="564"/>
      <c r="AQ35" s="564"/>
      <c r="AR35" s="564"/>
      <c r="AS35" s="564"/>
      <c r="AT35" s="564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</row>
    <row r="36" spans="2:70" ht="12.75">
      <c r="B36" s="71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156"/>
      <c r="AN36" s="156"/>
      <c r="AO36" s="156"/>
      <c r="AP36" s="156"/>
      <c r="AQ36" s="156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</row>
    <row r="37" spans="3:70" ht="12.7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</row>
    <row r="38" spans="3:70" ht="12.7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</row>
    <row r="39" spans="3:70" ht="12.7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</row>
    <row r="40" spans="3:70" ht="12.7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</row>
    <row r="41" spans="3:70" ht="12.7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</row>
    <row r="42" spans="3:70" ht="12.7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</row>
    <row r="43" spans="3:70" ht="12.75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</row>
    <row r="44" spans="3:70" ht="12.7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</row>
    <row r="45" spans="3:70" ht="12.7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</row>
    <row r="46" spans="3:70" ht="12.7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</row>
    <row r="47" spans="3:70" ht="12.7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</row>
    <row r="48" spans="3:70" ht="12.7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</row>
    <row r="49" spans="3:70" ht="12.7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</row>
    <row r="50" spans="3:70" ht="12.7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</row>
    <row r="51" spans="3:70" ht="12.7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</row>
    <row r="52" spans="3:70" ht="12.7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</row>
    <row r="53" spans="3:70" ht="12.7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</row>
    <row r="54" spans="3:70" ht="12.7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</row>
    <row r="55" spans="3:70" ht="12.7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</row>
    <row r="56" spans="3:70" ht="12.7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</row>
    <row r="57" spans="3:70" ht="12.7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</row>
    <row r="58" spans="3:70" ht="12.7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</row>
    <row r="59" spans="3:70" ht="12.7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</row>
    <row r="60" spans="3:70" ht="12.7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</row>
    <row r="61" spans="3:70" ht="12.7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</row>
    <row r="62" spans="3:70" ht="12.7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</row>
    <row r="63" spans="3:70" ht="12.7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</row>
    <row r="64" spans="3:70" ht="12.7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</row>
    <row r="65" spans="3:70" ht="12.7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</row>
    <row r="66" spans="3:70" ht="12.7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</row>
    <row r="67" spans="3:70" ht="12.7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</row>
    <row r="68" spans="3:70" ht="12.7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</row>
    <row r="69" spans="3:70" ht="12.7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</row>
    <row r="70" spans="3:70" ht="12.7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</row>
    <row r="71" spans="3:70" ht="12.7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</row>
    <row r="72" spans="3:70" ht="12.7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</row>
    <row r="73" spans="3:70" ht="12.7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</row>
    <row r="74" spans="3:70" ht="12.7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</row>
    <row r="75" spans="3:70" ht="12.7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</row>
    <row r="76" spans="3:70" ht="12.7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</row>
    <row r="77" spans="3:70" ht="12.7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</row>
    <row r="78" spans="3:70" ht="12.7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</row>
    <row r="79" spans="3:70" ht="12.7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</row>
    <row r="80" spans="3:70" ht="12.7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</row>
    <row r="81" spans="3:70" ht="12.7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</row>
    <row r="82" spans="3:70" ht="12.7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</row>
  </sheetData>
  <mergeCells count="291">
    <mergeCell ref="R34:AF34"/>
    <mergeCell ref="AI34:AT34"/>
    <mergeCell ref="B35:N35"/>
    <mergeCell ref="R35:AF35"/>
    <mergeCell ref="AI35:AT35"/>
    <mergeCell ref="BR30:BR31"/>
    <mergeCell ref="B33:L33"/>
    <mergeCell ref="R33:AF33"/>
    <mergeCell ref="AI33:AT33"/>
    <mergeCell ref="BE30:BH31"/>
    <mergeCell ref="BI30:BI31"/>
    <mergeCell ref="BJ30:BJ31"/>
    <mergeCell ref="BK30:BQ31"/>
    <mergeCell ref="AW30:AW31"/>
    <mergeCell ref="AX30:BB31"/>
    <mergeCell ref="BC30:BC31"/>
    <mergeCell ref="BD30:BD31"/>
    <mergeCell ref="AO30:AO31"/>
    <mergeCell ref="AP30:AP31"/>
    <mergeCell ref="AQ30:AU31"/>
    <mergeCell ref="AV30:AV31"/>
    <mergeCell ref="AD30:AH31"/>
    <mergeCell ref="AI30:AI31"/>
    <mergeCell ref="AJ30:AJ31"/>
    <mergeCell ref="AK30:AN31"/>
    <mergeCell ref="BK21:BQ21"/>
    <mergeCell ref="L22:O23"/>
    <mergeCell ref="L30:O31"/>
    <mergeCell ref="P30:P31"/>
    <mergeCell ref="Q30:U31"/>
    <mergeCell ref="V30:V31"/>
    <mergeCell ref="W30:W31"/>
    <mergeCell ref="X30:AA31"/>
    <mergeCell ref="AB30:AB31"/>
    <mergeCell ref="AC30:AC31"/>
    <mergeCell ref="AX18:BB18"/>
    <mergeCell ref="BE18:BH18"/>
    <mergeCell ref="BK18:BQ18"/>
    <mergeCell ref="A18:K18"/>
    <mergeCell ref="L18:O18"/>
    <mergeCell ref="Q18:U18"/>
    <mergeCell ref="X18:AA18"/>
    <mergeCell ref="AD18:AH18"/>
    <mergeCell ref="AK18:AN18"/>
    <mergeCell ref="AQ18:AU18"/>
    <mergeCell ref="AX17:BB17"/>
    <mergeCell ref="BE17:BH17"/>
    <mergeCell ref="BK17:BQ17"/>
    <mergeCell ref="BK16:BQ16"/>
    <mergeCell ref="AX16:BB16"/>
    <mergeCell ref="BE16:BH16"/>
    <mergeCell ref="BE14:BH14"/>
    <mergeCell ref="BK14:BQ14"/>
    <mergeCell ref="AX13:BB13"/>
    <mergeCell ref="BE13:BH13"/>
    <mergeCell ref="BK13:BQ13"/>
    <mergeCell ref="A14:K14"/>
    <mergeCell ref="L14:O14"/>
    <mergeCell ref="Q14:U14"/>
    <mergeCell ref="X14:AA14"/>
    <mergeCell ref="AD14:AH14"/>
    <mergeCell ref="AK14:AN14"/>
    <mergeCell ref="AQ14:AU14"/>
    <mergeCell ref="AX12:BB12"/>
    <mergeCell ref="AX14:BB14"/>
    <mergeCell ref="BE12:BH12"/>
    <mergeCell ref="BK12:BQ12"/>
    <mergeCell ref="A13:K13"/>
    <mergeCell ref="L13:O13"/>
    <mergeCell ref="Q13:U13"/>
    <mergeCell ref="X13:AA13"/>
    <mergeCell ref="AD13:AH13"/>
    <mergeCell ref="AK13:AN13"/>
    <mergeCell ref="AQ13:AU13"/>
    <mergeCell ref="AX11:BB11"/>
    <mergeCell ref="BE11:BH11"/>
    <mergeCell ref="BK11:BQ11"/>
    <mergeCell ref="A12:K12"/>
    <mergeCell ref="L12:O12"/>
    <mergeCell ref="Q12:U12"/>
    <mergeCell ref="X12:AA12"/>
    <mergeCell ref="AD12:AH12"/>
    <mergeCell ref="AK12:AN12"/>
    <mergeCell ref="AQ12:AU12"/>
    <mergeCell ref="AX10:BB10"/>
    <mergeCell ref="BE10:BH10"/>
    <mergeCell ref="BK10:BQ10"/>
    <mergeCell ref="A11:K11"/>
    <mergeCell ref="L11:O11"/>
    <mergeCell ref="Q11:U11"/>
    <mergeCell ref="X11:AA11"/>
    <mergeCell ref="AD11:AH11"/>
    <mergeCell ref="AK11:AN11"/>
    <mergeCell ref="AQ11:AU11"/>
    <mergeCell ref="BK8:BQ9"/>
    <mergeCell ref="BR8:BR9"/>
    <mergeCell ref="A9:K9"/>
    <mergeCell ref="A10:K10"/>
    <mergeCell ref="L10:O10"/>
    <mergeCell ref="Q10:U10"/>
    <mergeCell ref="X10:AA10"/>
    <mergeCell ref="AD10:AH10"/>
    <mergeCell ref="AK10:AN10"/>
    <mergeCell ref="AQ10:AU10"/>
    <mergeCell ref="BD8:BD9"/>
    <mergeCell ref="BE8:BH9"/>
    <mergeCell ref="BI8:BI9"/>
    <mergeCell ref="BJ8:BJ9"/>
    <mergeCell ref="AV8:AV9"/>
    <mergeCell ref="AW8:AW9"/>
    <mergeCell ref="AX8:BB9"/>
    <mergeCell ref="BC8:BC9"/>
    <mergeCell ref="AK8:AN9"/>
    <mergeCell ref="AO8:AO9"/>
    <mergeCell ref="AP8:AP9"/>
    <mergeCell ref="AQ8:AU9"/>
    <mergeCell ref="AC8:AC9"/>
    <mergeCell ref="AD8:AH9"/>
    <mergeCell ref="AI8:AI9"/>
    <mergeCell ref="AJ8:AJ9"/>
    <mergeCell ref="V8:V9"/>
    <mergeCell ref="W8:W9"/>
    <mergeCell ref="X8:AA9"/>
    <mergeCell ref="AB8:AB9"/>
    <mergeCell ref="A8:K8"/>
    <mergeCell ref="L8:O9"/>
    <mergeCell ref="P8:P9"/>
    <mergeCell ref="Q8:U9"/>
    <mergeCell ref="BJ6:BJ7"/>
    <mergeCell ref="BK6:BQ7"/>
    <mergeCell ref="BR6:BR7"/>
    <mergeCell ref="A7:K7"/>
    <mergeCell ref="BC6:BC7"/>
    <mergeCell ref="BD6:BD7"/>
    <mergeCell ref="BE6:BH7"/>
    <mergeCell ref="BI6:BI7"/>
    <mergeCell ref="AQ6:AU7"/>
    <mergeCell ref="AV6:AV7"/>
    <mergeCell ref="AW6:AW7"/>
    <mergeCell ref="AX6:BB7"/>
    <mergeCell ref="AJ6:AJ7"/>
    <mergeCell ref="AK6:AN7"/>
    <mergeCell ref="AO6:AO7"/>
    <mergeCell ref="AP6:AP7"/>
    <mergeCell ref="AB6:AB7"/>
    <mergeCell ref="AC6:AC7"/>
    <mergeCell ref="AD6:AH7"/>
    <mergeCell ref="AI6:AI7"/>
    <mergeCell ref="AW5:BC5"/>
    <mergeCell ref="BD5:BI5"/>
    <mergeCell ref="BJ5:BR5"/>
    <mergeCell ref="A6:K6"/>
    <mergeCell ref="L6:O7"/>
    <mergeCell ref="P6:P7"/>
    <mergeCell ref="Q6:U7"/>
    <mergeCell ref="V6:V7"/>
    <mergeCell ref="W6:W7"/>
    <mergeCell ref="X6:AA7"/>
    <mergeCell ref="AW4:BC4"/>
    <mergeCell ref="BD4:BI4"/>
    <mergeCell ref="BJ4:BR4"/>
    <mergeCell ref="A5:K5"/>
    <mergeCell ref="L5:O5"/>
    <mergeCell ref="P5:V5"/>
    <mergeCell ref="W5:AB5"/>
    <mergeCell ref="AC5:AI5"/>
    <mergeCell ref="AJ5:AO5"/>
    <mergeCell ref="AP5:AV5"/>
    <mergeCell ref="AP3:AW3"/>
    <mergeCell ref="AX3:BI3"/>
    <mergeCell ref="BJ3:BR3"/>
    <mergeCell ref="A4:K4"/>
    <mergeCell ref="L4:O4"/>
    <mergeCell ref="P4:V4"/>
    <mergeCell ref="W4:AB4"/>
    <mergeCell ref="AC4:AI4"/>
    <mergeCell ref="AJ4:AO4"/>
    <mergeCell ref="AP4:AV4"/>
    <mergeCell ref="C1:BR1"/>
    <mergeCell ref="AB2:AC2"/>
    <mergeCell ref="AD2:AP2"/>
    <mergeCell ref="AQ2:AS2"/>
    <mergeCell ref="AT2:AV2"/>
    <mergeCell ref="AD17:AH17"/>
    <mergeCell ref="A15:K15"/>
    <mergeCell ref="L15:O16"/>
    <mergeCell ref="A16:K16"/>
    <mergeCell ref="Q16:U16"/>
    <mergeCell ref="AK16:AN16"/>
    <mergeCell ref="AQ16:AU16"/>
    <mergeCell ref="A17:K17"/>
    <mergeCell ref="L17:O17"/>
    <mergeCell ref="AK17:AN17"/>
    <mergeCell ref="AQ17:AU17"/>
    <mergeCell ref="X16:AA16"/>
    <mergeCell ref="AD16:AH16"/>
    <mergeCell ref="Q17:U17"/>
    <mergeCell ref="X17:AA17"/>
    <mergeCell ref="A19:K19"/>
    <mergeCell ref="L19:O20"/>
    <mergeCell ref="BE20:BH20"/>
    <mergeCell ref="A20:K20"/>
    <mergeCell ref="BK19:BQ19"/>
    <mergeCell ref="Q20:U20"/>
    <mergeCell ref="X20:AA20"/>
    <mergeCell ref="BK20:BQ20"/>
    <mergeCell ref="AD20:AH20"/>
    <mergeCell ref="AK20:AN20"/>
    <mergeCell ref="AQ20:AU20"/>
    <mergeCell ref="AX20:BB20"/>
    <mergeCell ref="A21:K21"/>
    <mergeCell ref="A22:K22"/>
    <mergeCell ref="L21:O21"/>
    <mergeCell ref="Q21:U21"/>
    <mergeCell ref="X21:AA21"/>
    <mergeCell ref="AD21:AH21"/>
    <mergeCell ref="AK21:AN21"/>
    <mergeCell ref="AQ21:AU21"/>
    <mergeCell ref="AX21:BB21"/>
    <mergeCell ref="BE21:BH21"/>
    <mergeCell ref="A23:K23"/>
    <mergeCell ref="Q23:U23"/>
    <mergeCell ref="X23:AA23"/>
    <mergeCell ref="AD23:AH23"/>
    <mergeCell ref="AK23:AN23"/>
    <mergeCell ref="AQ23:AU23"/>
    <mergeCell ref="AX23:BB23"/>
    <mergeCell ref="BE23:BH23"/>
    <mergeCell ref="BK23:BQ23"/>
    <mergeCell ref="A24:K24"/>
    <mergeCell ref="L24:O24"/>
    <mergeCell ref="Q24:U24"/>
    <mergeCell ref="X24:AA24"/>
    <mergeCell ref="AD24:AH24"/>
    <mergeCell ref="AK24:AN24"/>
    <mergeCell ref="AQ24:AU24"/>
    <mergeCell ref="AX24:BB24"/>
    <mergeCell ref="BE24:BH24"/>
    <mergeCell ref="BK24:BQ24"/>
    <mergeCell ref="A25:K25"/>
    <mergeCell ref="L25:O25"/>
    <mergeCell ref="Q25:U25"/>
    <mergeCell ref="X25:AA25"/>
    <mergeCell ref="AD25:AH25"/>
    <mergeCell ref="AK25:AN25"/>
    <mergeCell ref="AQ25:AU25"/>
    <mergeCell ref="AX25:BB25"/>
    <mergeCell ref="BE25:BH25"/>
    <mergeCell ref="BK25:BQ25"/>
    <mergeCell ref="A26:K26"/>
    <mergeCell ref="L26:O26"/>
    <mergeCell ref="Q26:U26"/>
    <mergeCell ref="X26:AA26"/>
    <mergeCell ref="AD26:AH26"/>
    <mergeCell ref="AK26:AN26"/>
    <mergeCell ref="AQ26:AU26"/>
    <mergeCell ref="AX26:BB26"/>
    <mergeCell ref="BE26:BH26"/>
    <mergeCell ref="BK26:BQ26"/>
    <mergeCell ref="A27:K27"/>
    <mergeCell ref="L27:O27"/>
    <mergeCell ref="Q27:U27"/>
    <mergeCell ref="X27:AA27"/>
    <mergeCell ref="AD27:AH27"/>
    <mergeCell ref="AK27:AN27"/>
    <mergeCell ref="AQ27:AU27"/>
    <mergeCell ref="AX27:BB27"/>
    <mergeCell ref="BE27:BH27"/>
    <mergeCell ref="BK27:BQ27"/>
    <mergeCell ref="A28:K28"/>
    <mergeCell ref="L28:O28"/>
    <mergeCell ref="Q28:U28"/>
    <mergeCell ref="X28:AA28"/>
    <mergeCell ref="AD28:AH28"/>
    <mergeCell ref="AK28:AN28"/>
    <mergeCell ref="AQ28:AU28"/>
    <mergeCell ref="AX28:BB28"/>
    <mergeCell ref="BE28:BH28"/>
    <mergeCell ref="AX29:BB29"/>
    <mergeCell ref="BE29:BH29"/>
    <mergeCell ref="BK28:BQ28"/>
    <mergeCell ref="BK29:BQ29"/>
    <mergeCell ref="A30:K30"/>
    <mergeCell ref="A31:K31"/>
    <mergeCell ref="A29:K29"/>
    <mergeCell ref="L29:O29"/>
    <mergeCell ref="AQ29:AU29"/>
    <mergeCell ref="Q29:U29"/>
    <mergeCell ref="X29:AA29"/>
    <mergeCell ref="AD29:AH29"/>
    <mergeCell ref="AK29:AN29"/>
  </mergeCells>
  <printOptions/>
  <pageMargins left="0.75" right="0.19" top="0.51" bottom="0.47" header="0.5" footer="0.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93"/>
  <sheetViews>
    <sheetView zoomScale="150" zoomScaleNormal="150" workbookViewId="0" topLeftCell="A18">
      <selection activeCell="Z82" sqref="Z82:AG82"/>
    </sheetView>
  </sheetViews>
  <sheetFormatPr defaultColWidth="9.00390625" defaultRowHeight="12.75"/>
  <cols>
    <col min="1" max="5" width="2.25390625" style="114" customWidth="1"/>
    <col min="6" max="6" width="2.75390625" style="114" customWidth="1"/>
    <col min="7" max="29" width="2.25390625" style="114" customWidth="1"/>
    <col min="30" max="37" width="2.25390625" style="116" customWidth="1"/>
    <col min="38" max="41" width="2.75390625" style="116" customWidth="1"/>
    <col min="42" max="16384" width="9.125" style="116" customWidth="1"/>
  </cols>
  <sheetData>
    <row r="1" spans="23:41" ht="48.75" customHeight="1">
      <c r="W1" s="651" t="s">
        <v>383</v>
      </c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</row>
    <row r="2" ht="23.25" customHeight="1"/>
    <row r="3" spans="1:41" ht="15.75" customHeight="1">
      <c r="A3" s="655" t="s">
        <v>384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</row>
    <row r="4" spans="1:41" ht="15.75" customHeight="1">
      <c r="A4" s="655" t="s">
        <v>385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</row>
    <row r="5" spans="1:41" ht="29.25" customHeight="1">
      <c r="A5" s="115"/>
      <c r="B5" s="115"/>
      <c r="C5" s="115"/>
      <c r="D5" s="115"/>
      <c r="E5" s="117"/>
      <c r="G5" s="115"/>
      <c r="H5" s="115"/>
      <c r="L5" s="118"/>
      <c r="AA5" s="117"/>
      <c r="AB5" s="117"/>
      <c r="AC5" s="117"/>
      <c r="AD5" s="117"/>
      <c r="AE5" s="117"/>
      <c r="AF5" s="117"/>
      <c r="AG5" s="117"/>
      <c r="AI5" s="600" t="s">
        <v>271</v>
      </c>
      <c r="AJ5" s="600"/>
      <c r="AK5" s="600"/>
      <c r="AL5" s="600"/>
      <c r="AM5" s="600"/>
      <c r="AN5" s="600"/>
      <c r="AO5" s="600"/>
    </row>
    <row r="6" spans="1:41" ht="15.75" customHeight="1">
      <c r="A6" s="654" t="s">
        <v>114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114"/>
      <c r="AI6" s="601"/>
      <c r="AJ6" s="602"/>
      <c r="AK6" s="603"/>
      <c r="AL6" s="120"/>
      <c r="AM6" s="645" t="s">
        <v>115</v>
      </c>
      <c r="AN6" s="645"/>
      <c r="AO6" s="645"/>
    </row>
    <row r="7" spans="1:41" ht="15" customHeight="1">
      <c r="A7" s="649" t="s">
        <v>116</v>
      </c>
      <c r="B7" s="649"/>
      <c r="C7" s="649"/>
      <c r="D7" s="649"/>
      <c r="E7" s="649"/>
      <c r="F7" s="649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121"/>
      <c r="AB7" s="567" t="s">
        <v>117</v>
      </c>
      <c r="AC7" s="567"/>
      <c r="AD7" s="567"/>
      <c r="AE7" s="567"/>
      <c r="AF7" s="567"/>
      <c r="AG7" s="567"/>
      <c r="AI7" s="645"/>
      <c r="AJ7" s="645"/>
      <c r="AK7" s="645"/>
      <c r="AL7" s="645"/>
      <c r="AM7" s="645"/>
      <c r="AN7" s="645"/>
      <c r="AO7" s="645"/>
    </row>
    <row r="8" spans="1:41" ht="12.75" customHeight="1">
      <c r="A8" s="649" t="s">
        <v>118</v>
      </c>
      <c r="B8" s="649"/>
      <c r="C8" s="649"/>
      <c r="D8" s="649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117"/>
      <c r="AB8" s="567" t="s">
        <v>119</v>
      </c>
      <c r="AC8" s="567"/>
      <c r="AD8" s="567"/>
      <c r="AE8" s="567"/>
      <c r="AF8" s="567"/>
      <c r="AG8" s="567"/>
      <c r="AI8" s="601"/>
      <c r="AJ8" s="602"/>
      <c r="AK8" s="602"/>
      <c r="AL8" s="602"/>
      <c r="AM8" s="602"/>
      <c r="AN8" s="602"/>
      <c r="AO8" s="603"/>
    </row>
    <row r="9" spans="1:41" ht="27" customHeight="1">
      <c r="A9" s="651" t="s">
        <v>386</v>
      </c>
      <c r="B9" s="651"/>
      <c r="C9" s="651"/>
      <c r="D9" s="651"/>
      <c r="E9" s="651"/>
      <c r="F9" s="651"/>
      <c r="G9" s="651"/>
      <c r="H9" s="651"/>
      <c r="I9" s="651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0"/>
      <c r="W9" s="650"/>
      <c r="X9" s="650"/>
      <c r="Y9" s="650"/>
      <c r="Z9" s="650"/>
      <c r="AA9" s="115"/>
      <c r="AB9" s="652" t="s">
        <v>121</v>
      </c>
      <c r="AC9" s="652"/>
      <c r="AD9" s="652"/>
      <c r="AE9" s="652"/>
      <c r="AF9" s="652"/>
      <c r="AG9" s="652"/>
      <c r="AI9" s="601"/>
      <c r="AJ9" s="602"/>
      <c r="AK9" s="602"/>
      <c r="AL9" s="602"/>
      <c r="AM9" s="602"/>
      <c r="AN9" s="602"/>
      <c r="AO9" s="603"/>
    </row>
    <row r="10" spans="1:41" ht="15.75" customHeight="1">
      <c r="A10" s="649" t="s">
        <v>122</v>
      </c>
      <c r="B10" s="649"/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121"/>
      <c r="AB10" s="567" t="s">
        <v>123</v>
      </c>
      <c r="AC10" s="567"/>
      <c r="AD10" s="567"/>
      <c r="AE10" s="567"/>
      <c r="AF10" s="567"/>
      <c r="AG10" s="567"/>
      <c r="AI10" s="601"/>
      <c r="AJ10" s="602"/>
      <c r="AK10" s="602"/>
      <c r="AL10" s="602"/>
      <c r="AM10" s="602"/>
      <c r="AN10" s="602"/>
      <c r="AO10" s="603"/>
    </row>
    <row r="11" spans="1:32" ht="17.25" customHeight="1">
      <c r="A11" s="649" t="s">
        <v>387</v>
      </c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50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121"/>
      <c r="AC11" s="119"/>
      <c r="AD11" s="119"/>
      <c r="AE11" s="119"/>
      <c r="AF11" s="119"/>
    </row>
    <row r="12" spans="1:32" ht="13.5" customHeight="1">
      <c r="A12" s="649" t="s">
        <v>388</v>
      </c>
      <c r="B12" s="649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121"/>
      <c r="AC12" s="122"/>
      <c r="AD12" s="122"/>
      <c r="AE12" s="114"/>
      <c r="AF12" s="114"/>
    </row>
    <row r="13" spans="1:32" ht="13.5" customHeight="1">
      <c r="A13" s="567" t="s">
        <v>389</v>
      </c>
      <c r="B13" s="567"/>
      <c r="C13" s="567"/>
      <c r="D13" s="567"/>
      <c r="E13" s="567"/>
      <c r="F13" s="567"/>
      <c r="AD13" s="114"/>
      <c r="AE13" s="114"/>
      <c r="AF13" s="114"/>
    </row>
    <row r="14" spans="3:12" ht="30" customHeight="1">
      <c r="C14" s="122"/>
      <c r="D14" s="122"/>
      <c r="E14" s="122"/>
      <c r="F14" s="122"/>
      <c r="L14" s="118"/>
    </row>
    <row r="15" spans="9:41" ht="15" customHeight="1">
      <c r="I15" s="647" t="s">
        <v>390</v>
      </c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 t="s">
        <v>391</v>
      </c>
      <c r="U15" s="647"/>
      <c r="V15" s="647"/>
      <c r="W15" s="647"/>
      <c r="X15" s="647"/>
      <c r="Y15" s="647"/>
      <c r="Z15" s="600" t="s">
        <v>392</v>
      </c>
      <c r="AA15" s="600"/>
      <c r="AB15" s="600"/>
      <c r="AC15" s="600"/>
      <c r="AD15" s="600"/>
      <c r="AE15" s="600"/>
      <c r="AF15" s="600"/>
      <c r="AG15" s="648"/>
      <c r="AH15" s="592">
        <v>1801006</v>
      </c>
      <c r="AI15" s="593"/>
      <c r="AJ15" s="593"/>
      <c r="AK15" s="593"/>
      <c r="AL15" s="593"/>
      <c r="AM15" s="593"/>
      <c r="AN15" s="593"/>
      <c r="AO15" s="594"/>
    </row>
    <row r="16" spans="9:19" ht="10.5" customHeight="1">
      <c r="I16" s="646" t="s">
        <v>393</v>
      </c>
      <c r="J16" s="646"/>
      <c r="K16" s="646"/>
      <c r="L16" s="646"/>
      <c r="M16" s="646"/>
      <c r="N16" s="646"/>
      <c r="O16" s="646"/>
      <c r="P16" s="646"/>
      <c r="Q16" s="646"/>
      <c r="R16" s="646"/>
      <c r="S16" s="646"/>
    </row>
    <row r="17" spans="7:12" ht="7.5" customHeight="1">
      <c r="G17" s="124"/>
      <c r="H17" s="124"/>
      <c r="L17" s="118"/>
    </row>
    <row r="18" spans="1:41" ht="27.75" customHeight="1">
      <c r="A18" s="590" t="s">
        <v>133</v>
      </c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5" t="s">
        <v>394</v>
      </c>
      <c r="W18" s="593"/>
      <c r="X18" s="593"/>
      <c r="Y18" s="594"/>
      <c r="Z18" s="590" t="s">
        <v>395</v>
      </c>
      <c r="AA18" s="590"/>
      <c r="AB18" s="590"/>
      <c r="AC18" s="590"/>
      <c r="AD18" s="590"/>
      <c r="AE18" s="590"/>
      <c r="AF18" s="590"/>
      <c r="AG18" s="590"/>
      <c r="AH18" s="590" t="s">
        <v>396</v>
      </c>
      <c r="AI18" s="590"/>
      <c r="AJ18" s="590"/>
      <c r="AK18" s="590"/>
      <c r="AL18" s="590"/>
      <c r="AM18" s="590"/>
      <c r="AN18" s="590"/>
      <c r="AO18" s="590"/>
    </row>
    <row r="19" spans="1:41" ht="15" customHeight="1">
      <c r="A19" s="587">
        <v>1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588"/>
      <c r="Q19" s="588"/>
      <c r="R19" s="588"/>
      <c r="S19" s="588"/>
      <c r="T19" s="588"/>
      <c r="U19" s="589"/>
      <c r="V19" s="636" t="s">
        <v>397</v>
      </c>
      <c r="W19" s="636"/>
      <c r="X19" s="636"/>
      <c r="Y19" s="636"/>
      <c r="Z19" s="645">
        <v>3</v>
      </c>
      <c r="AA19" s="645"/>
      <c r="AB19" s="645"/>
      <c r="AC19" s="645"/>
      <c r="AD19" s="645"/>
      <c r="AE19" s="645"/>
      <c r="AF19" s="645"/>
      <c r="AG19" s="645"/>
      <c r="AH19" s="645">
        <v>4</v>
      </c>
      <c r="AI19" s="645"/>
      <c r="AJ19" s="645"/>
      <c r="AK19" s="645"/>
      <c r="AL19" s="645"/>
      <c r="AM19" s="645"/>
      <c r="AN19" s="645"/>
      <c r="AO19" s="645"/>
    </row>
    <row r="20" spans="1:41" ht="19.5" customHeight="1">
      <c r="A20" s="633" t="s">
        <v>398</v>
      </c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5"/>
      <c r="V20" s="590"/>
      <c r="W20" s="590"/>
      <c r="X20" s="590"/>
      <c r="Y20" s="590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</row>
    <row r="21" spans="1:41" ht="15" customHeight="1">
      <c r="A21" s="609" t="s">
        <v>141</v>
      </c>
      <c r="B21" s="609"/>
      <c r="C21" s="609"/>
      <c r="D21" s="609"/>
      <c r="E21" s="609"/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09"/>
      <c r="U21" s="609"/>
      <c r="V21" s="590" t="s">
        <v>399</v>
      </c>
      <c r="W21" s="590"/>
      <c r="X21" s="590"/>
      <c r="Y21" s="590"/>
      <c r="Z21" s="644">
        <f>ОСВ!B9/1000</f>
        <v>12</v>
      </c>
      <c r="AA21" s="644"/>
      <c r="AB21" s="644"/>
      <c r="AC21" s="644"/>
      <c r="AD21" s="644"/>
      <c r="AE21" s="644"/>
      <c r="AF21" s="644"/>
      <c r="AG21" s="644"/>
      <c r="AH21" s="644">
        <f>ОСВ!F9/1000</f>
        <v>12</v>
      </c>
      <c r="AI21" s="644"/>
      <c r="AJ21" s="644"/>
      <c r="AK21" s="644"/>
      <c r="AL21" s="644"/>
      <c r="AM21" s="644"/>
      <c r="AN21" s="644"/>
      <c r="AO21" s="644"/>
    </row>
    <row r="22" spans="1:41" ht="15" customHeight="1">
      <c r="A22" s="609" t="s">
        <v>400</v>
      </c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590" t="s">
        <v>401</v>
      </c>
      <c r="W22" s="590"/>
      <c r="X22" s="590"/>
      <c r="Y22" s="590"/>
      <c r="Z22" s="583">
        <f>Z23-Z24</f>
        <v>3820</v>
      </c>
      <c r="AA22" s="583"/>
      <c r="AB22" s="583"/>
      <c r="AC22" s="583"/>
      <c r="AD22" s="583"/>
      <c r="AE22" s="583"/>
      <c r="AF22" s="583"/>
      <c r="AG22" s="583"/>
      <c r="AH22" s="583">
        <f>AH23-AH24</f>
        <v>3466</v>
      </c>
      <c r="AI22" s="583"/>
      <c r="AJ22" s="583"/>
      <c r="AK22" s="583"/>
      <c r="AL22" s="583"/>
      <c r="AM22" s="583"/>
      <c r="AN22" s="583"/>
      <c r="AO22" s="583"/>
    </row>
    <row r="23" spans="1:41" ht="15" customHeight="1">
      <c r="A23" s="613" t="s">
        <v>402</v>
      </c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590" t="s">
        <v>403</v>
      </c>
      <c r="W23" s="590"/>
      <c r="X23" s="590"/>
      <c r="Y23" s="590"/>
      <c r="Z23" s="583">
        <v>7950</v>
      </c>
      <c r="AA23" s="583"/>
      <c r="AB23" s="583"/>
      <c r="AC23" s="583"/>
      <c r="AD23" s="583"/>
      <c r="AE23" s="583"/>
      <c r="AF23" s="583"/>
      <c r="AG23" s="583"/>
      <c r="AH23" s="583">
        <v>7943</v>
      </c>
      <c r="AI23" s="583"/>
      <c r="AJ23" s="583"/>
      <c r="AK23" s="583"/>
      <c r="AL23" s="583"/>
      <c r="AM23" s="583"/>
      <c r="AN23" s="583"/>
      <c r="AO23" s="583"/>
    </row>
    <row r="24" spans="1:41" ht="15" customHeight="1">
      <c r="A24" s="613" t="s">
        <v>404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590" t="s">
        <v>405</v>
      </c>
      <c r="W24" s="590"/>
      <c r="X24" s="590"/>
      <c r="Y24" s="590"/>
      <c r="Z24" s="578">
        <v>4130</v>
      </c>
      <c r="AA24" s="579"/>
      <c r="AB24" s="579"/>
      <c r="AC24" s="579"/>
      <c r="AD24" s="579"/>
      <c r="AE24" s="579"/>
      <c r="AF24" s="579"/>
      <c r="AG24" s="580"/>
      <c r="AH24" s="578">
        <v>4477</v>
      </c>
      <c r="AI24" s="579"/>
      <c r="AJ24" s="579"/>
      <c r="AK24" s="579"/>
      <c r="AL24" s="579"/>
      <c r="AM24" s="579"/>
      <c r="AN24" s="579"/>
      <c r="AO24" s="580"/>
    </row>
    <row r="25" spans="1:41" ht="15" customHeight="1">
      <c r="A25" s="609" t="s">
        <v>145</v>
      </c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590" t="s">
        <v>406</v>
      </c>
      <c r="W25" s="590"/>
      <c r="X25" s="590"/>
      <c r="Y25" s="590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583"/>
      <c r="AL25" s="583"/>
      <c r="AM25" s="583"/>
      <c r="AN25" s="583"/>
      <c r="AO25" s="583"/>
    </row>
    <row r="26" spans="1:41" ht="15" customHeight="1">
      <c r="A26" s="609" t="s">
        <v>407</v>
      </c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590" t="s">
        <v>408</v>
      </c>
      <c r="W26" s="590"/>
      <c r="X26" s="590"/>
      <c r="Y26" s="590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3"/>
      <c r="AL26" s="583"/>
      <c r="AM26" s="583"/>
      <c r="AN26" s="583"/>
      <c r="AO26" s="583"/>
    </row>
    <row r="27" spans="1:41" ht="15" customHeight="1">
      <c r="A27" s="609" t="s">
        <v>409</v>
      </c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590" t="s">
        <v>410</v>
      </c>
      <c r="W27" s="590"/>
      <c r="X27" s="590"/>
      <c r="Y27" s="590"/>
      <c r="Z27" s="583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3"/>
      <c r="AL27" s="583"/>
      <c r="AM27" s="583"/>
      <c r="AN27" s="583"/>
      <c r="AO27" s="583"/>
    </row>
    <row r="28" spans="1:41" ht="19.5" customHeight="1">
      <c r="A28" s="604" t="s">
        <v>180</v>
      </c>
      <c r="B28" s="604"/>
      <c r="C28" s="604"/>
      <c r="D28" s="604"/>
      <c r="E28" s="604"/>
      <c r="F28" s="604"/>
      <c r="G28" s="604"/>
      <c r="H28" s="604"/>
      <c r="I28" s="604"/>
      <c r="J28" s="604"/>
      <c r="K28" s="604"/>
      <c r="L28" s="604"/>
      <c r="M28" s="604"/>
      <c r="N28" s="604"/>
      <c r="O28" s="604"/>
      <c r="P28" s="604"/>
      <c r="Q28" s="604"/>
      <c r="R28" s="604"/>
      <c r="S28" s="604"/>
      <c r="T28" s="604"/>
      <c r="U28" s="604"/>
      <c r="V28" s="606" t="s">
        <v>411</v>
      </c>
      <c r="W28" s="607"/>
      <c r="X28" s="607"/>
      <c r="Y28" s="608"/>
      <c r="Z28" s="644">
        <f>Z21+Z22</f>
        <v>3832</v>
      </c>
      <c r="AA28" s="583"/>
      <c r="AB28" s="583"/>
      <c r="AC28" s="583"/>
      <c r="AD28" s="583"/>
      <c r="AE28" s="583"/>
      <c r="AF28" s="583"/>
      <c r="AG28" s="583"/>
      <c r="AH28" s="644">
        <f>AH21+AH22</f>
        <v>3478</v>
      </c>
      <c r="AI28" s="583"/>
      <c r="AJ28" s="583"/>
      <c r="AK28" s="583"/>
      <c r="AL28" s="583"/>
      <c r="AM28" s="583"/>
      <c r="AN28" s="583"/>
      <c r="AO28" s="583"/>
    </row>
    <row r="29" spans="1:41" ht="19.5" customHeight="1">
      <c r="A29" s="633" t="s">
        <v>412</v>
      </c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5"/>
      <c r="V29" s="590"/>
      <c r="W29" s="590"/>
      <c r="X29" s="590"/>
      <c r="Y29" s="590"/>
      <c r="Z29" s="637"/>
      <c r="AA29" s="637"/>
      <c r="AB29" s="637"/>
      <c r="AC29" s="637"/>
      <c r="AD29" s="637"/>
      <c r="AE29" s="637"/>
      <c r="AF29" s="637"/>
      <c r="AG29" s="637"/>
      <c r="AH29" s="638"/>
      <c r="AI29" s="638"/>
      <c r="AJ29" s="638"/>
      <c r="AK29" s="638"/>
      <c r="AL29" s="638"/>
      <c r="AM29" s="638"/>
      <c r="AN29" s="638"/>
      <c r="AO29" s="638"/>
    </row>
    <row r="30" spans="1:41" ht="15" customHeight="1">
      <c r="A30" s="584" t="s">
        <v>413</v>
      </c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3"/>
      <c r="V30" s="595" t="s">
        <v>414</v>
      </c>
      <c r="W30" s="596"/>
      <c r="X30" s="596"/>
      <c r="Y30" s="597"/>
      <c r="Z30" s="578">
        <v>128</v>
      </c>
      <c r="AA30" s="579"/>
      <c r="AB30" s="579"/>
      <c r="AC30" s="579"/>
      <c r="AD30" s="579"/>
      <c r="AE30" s="579"/>
      <c r="AF30" s="579"/>
      <c r="AG30" s="580"/>
      <c r="AH30" s="578">
        <v>366</v>
      </c>
      <c r="AI30" s="579"/>
      <c r="AJ30" s="579"/>
      <c r="AK30" s="579"/>
      <c r="AL30" s="579"/>
      <c r="AM30" s="579"/>
      <c r="AN30" s="579"/>
      <c r="AO30" s="580"/>
    </row>
    <row r="31" spans="1:41" ht="15" customHeight="1">
      <c r="A31" s="610" t="s">
        <v>415</v>
      </c>
      <c r="B31" s="611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1"/>
      <c r="T31" s="611"/>
      <c r="U31" s="612"/>
      <c r="V31" s="595" t="s">
        <v>416</v>
      </c>
      <c r="W31" s="596"/>
      <c r="X31" s="596"/>
      <c r="Y31" s="597"/>
      <c r="Z31" s="578">
        <v>100</v>
      </c>
      <c r="AA31" s="579"/>
      <c r="AB31" s="579"/>
      <c r="AC31" s="579"/>
      <c r="AD31" s="579"/>
      <c r="AE31" s="579"/>
      <c r="AF31" s="579"/>
      <c r="AG31" s="580"/>
      <c r="AH31" s="578">
        <v>129</v>
      </c>
      <c r="AI31" s="579"/>
      <c r="AJ31" s="579"/>
      <c r="AK31" s="579"/>
      <c r="AL31" s="579"/>
      <c r="AM31" s="579"/>
      <c r="AN31" s="579"/>
      <c r="AO31" s="580"/>
    </row>
    <row r="32" spans="1:41" ht="15" customHeight="1">
      <c r="A32" s="609" t="s">
        <v>417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590" t="s">
        <v>418</v>
      </c>
      <c r="W32" s="590"/>
      <c r="X32" s="590"/>
      <c r="Y32" s="590"/>
      <c r="Z32" s="583"/>
      <c r="AA32" s="583"/>
      <c r="AB32" s="583"/>
      <c r="AC32" s="583"/>
      <c r="AD32" s="583"/>
      <c r="AE32" s="583"/>
      <c r="AF32" s="583"/>
      <c r="AG32" s="583"/>
      <c r="AH32" s="583"/>
      <c r="AI32" s="583"/>
      <c r="AJ32" s="583"/>
      <c r="AK32" s="583"/>
      <c r="AL32" s="583"/>
      <c r="AM32" s="583"/>
      <c r="AN32" s="583"/>
      <c r="AO32" s="583"/>
    </row>
    <row r="33" spans="1:41" ht="15" customHeight="1">
      <c r="A33" s="609" t="s">
        <v>419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590" t="s">
        <v>420</v>
      </c>
      <c r="W33" s="590"/>
      <c r="X33" s="590"/>
      <c r="Y33" s="590"/>
      <c r="Z33" s="583">
        <v>27</v>
      </c>
      <c r="AA33" s="583"/>
      <c r="AB33" s="583"/>
      <c r="AC33" s="583"/>
      <c r="AD33" s="583"/>
      <c r="AE33" s="583"/>
      <c r="AF33" s="583"/>
      <c r="AG33" s="583"/>
      <c r="AH33" s="583">
        <v>334</v>
      </c>
      <c r="AI33" s="583"/>
      <c r="AJ33" s="583"/>
      <c r="AK33" s="583"/>
      <c r="AL33" s="583"/>
      <c r="AM33" s="583"/>
      <c r="AN33" s="583"/>
      <c r="AO33" s="583"/>
    </row>
    <row r="34" spans="1:41" ht="15" customHeight="1">
      <c r="A34" s="584" t="s">
        <v>421</v>
      </c>
      <c r="B34" s="572"/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572"/>
      <c r="T34" s="572"/>
      <c r="U34" s="573"/>
      <c r="V34" s="595" t="s">
        <v>422</v>
      </c>
      <c r="W34" s="596"/>
      <c r="X34" s="596"/>
      <c r="Y34" s="597"/>
      <c r="Z34" s="578">
        <v>5</v>
      </c>
      <c r="AA34" s="579"/>
      <c r="AB34" s="579"/>
      <c r="AC34" s="579"/>
      <c r="AD34" s="579"/>
      <c r="AE34" s="579"/>
      <c r="AF34" s="579"/>
      <c r="AG34" s="580"/>
      <c r="AH34" s="578">
        <v>0</v>
      </c>
      <c r="AI34" s="579"/>
      <c r="AJ34" s="579"/>
      <c r="AK34" s="579"/>
      <c r="AL34" s="579"/>
      <c r="AM34" s="579"/>
      <c r="AN34" s="579"/>
      <c r="AO34" s="580"/>
    </row>
    <row r="35" spans="1:41" ht="15" customHeight="1">
      <c r="A35" s="610" t="s">
        <v>423</v>
      </c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2"/>
      <c r="V35" s="595" t="s">
        <v>424</v>
      </c>
      <c r="W35" s="596"/>
      <c r="X35" s="596"/>
      <c r="Y35" s="597"/>
      <c r="Z35" s="578"/>
      <c r="AA35" s="579"/>
      <c r="AB35" s="579"/>
      <c r="AC35" s="579"/>
      <c r="AD35" s="579"/>
      <c r="AE35" s="579"/>
      <c r="AF35" s="579"/>
      <c r="AG35" s="580"/>
      <c r="AH35" s="578"/>
      <c r="AI35" s="579"/>
      <c r="AJ35" s="579"/>
      <c r="AK35" s="579"/>
      <c r="AL35" s="579"/>
      <c r="AM35" s="579"/>
      <c r="AN35" s="579"/>
      <c r="AO35" s="580"/>
    </row>
    <row r="36" spans="1:41" ht="15" customHeight="1">
      <c r="A36" s="609" t="s">
        <v>425</v>
      </c>
      <c r="B36" s="609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590" t="s">
        <v>426</v>
      </c>
      <c r="W36" s="590"/>
      <c r="X36" s="590"/>
      <c r="Y36" s="590"/>
      <c r="Z36" s="583">
        <v>3</v>
      </c>
      <c r="AA36" s="583"/>
      <c r="AB36" s="583"/>
      <c r="AC36" s="583"/>
      <c r="AD36" s="583"/>
      <c r="AE36" s="583"/>
      <c r="AF36" s="583"/>
      <c r="AG36" s="583"/>
      <c r="AH36" s="583">
        <v>19</v>
      </c>
      <c r="AI36" s="583"/>
      <c r="AJ36" s="583"/>
      <c r="AK36" s="583"/>
      <c r="AL36" s="583"/>
      <c r="AM36" s="583"/>
      <c r="AN36" s="583"/>
      <c r="AO36" s="583"/>
    </row>
    <row r="37" spans="1:41" ht="15" customHeight="1">
      <c r="A37" s="609" t="s">
        <v>427</v>
      </c>
      <c r="B37" s="609"/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590" t="s">
        <v>428</v>
      </c>
      <c r="W37" s="590"/>
      <c r="X37" s="590"/>
      <c r="Y37" s="590"/>
      <c r="Z37" s="583">
        <v>15</v>
      </c>
      <c r="AA37" s="583"/>
      <c r="AB37" s="583"/>
      <c r="AC37" s="583"/>
      <c r="AD37" s="583"/>
      <c r="AE37" s="583"/>
      <c r="AF37" s="583"/>
      <c r="AG37" s="583"/>
      <c r="AH37" s="583">
        <v>30</v>
      </c>
      <c r="AI37" s="583"/>
      <c r="AJ37" s="583"/>
      <c r="AK37" s="583"/>
      <c r="AL37" s="583"/>
      <c r="AM37" s="583"/>
      <c r="AN37" s="583"/>
      <c r="AO37" s="583"/>
    </row>
    <row r="38" spans="1:41" ht="15" customHeight="1">
      <c r="A38" s="609" t="s">
        <v>429</v>
      </c>
      <c r="B38" s="609"/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590" t="s">
        <v>430</v>
      </c>
      <c r="W38" s="590"/>
      <c r="X38" s="590"/>
      <c r="Y38" s="590"/>
      <c r="Z38" s="583">
        <v>76</v>
      </c>
      <c r="AA38" s="583"/>
      <c r="AB38" s="583"/>
      <c r="AC38" s="583"/>
      <c r="AD38" s="583"/>
      <c r="AE38" s="583"/>
      <c r="AF38" s="583"/>
      <c r="AG38" s="583"/>
      <c r="AH38" s="583">
        <v>1023</v>
      </c>
      <c r="AI38" s="583"/>
      <c r="AJ38" s="583"/>
      <c r="AK38" s="583"/>
      <c r="AL38" s="583"/>
      <c r="AM38" s="583"/>
      <c r="AN38" s="583"/>
      <c r="AO38" s="583"/>
    </row>
    <row r="39" spans="1:41" ht="15" customHeight="1">
      <c r="A39" s="609" t="s">
        <v>164</v>
      </c>
      <c r="B39" s="609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590" t="s">
        <v>431</v>
      </c>
      <c r="W39" s="590"/>
      <c r="X39" s="590"/>
      <c r="Y39" s="590"/>
      <c r="Z39" s="583">
        <v>1</v>
      </c>
      <c r="AA39" s="583"/>
      <c r="AB39" s="583"/>
      <c r="AC39" s="583"/>
      <c r="AD39" s="583"/>
      <c r="AE39" s="583"/>
      <c r="AF39" s="583"/>
      <c r="AG39" s="583"/>
      <c r="AH39" s="583">
        <v>1</v>
      </c>
      <c r="AI39" s="583"/>
      <c r="AJ39" s="583"/>
      <c r="AK39" s="583"/>
      <c r="AL39" s="583"/>
      <c r="AM39" s="583"/>
      <c r="AN39" s="583"/>
      <c r="AO39" s="583"/>
    </row>
    <row r="40" spans="1:41" ht="15" customHeight="1">
      <c r="A40" s="609" t="s">
        <v>432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590" t="s">
        <v>433</v>
      </c>
      <c r="W40" s="590"/>
      <c r="X40" s="590"/>
      <c r="Y40" s="590"/>
      <c r="Z40" s="583"/>
      <c r="AA40" s="583"/>
      <c r="AB40" s="583"/>
      <c r="AC40" s="583"/>
      <c r="AD40" s="583"/>
      <c r="AE40" s="583"/>
      <c r="AF40" s="583"/>
      <c r="AG40" s="583"/>
      <c r="AH40" s="583">
        <v>9</v>
      </c>
      <c r="AI40" s="583"/>
      <c r="AJ40" s="583"/>
      <c r="AK40" s="583"/>
      <c r="AL40" s="583"/>
      <c r="AM40" s="583"/>
      <c r="AN40" s="583"/>
      <c r="AO40" s="583"/>
    </row>
    <row r="41" spans="1:41" ht="19.5" customHeight="1">
      <c r="A41" s="604" t="s">
        <v>187</v>
      </c>
      <c r="B41" s="604"/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42" t="s">
        <v>434</v>
      </c>
      <c r="W41" s="642"/>
      <c r="X41" s="642"/>
      <c r="Y41" s="642"/>
      <c r="Z41" s="586">
        <f>Z30+Z33+Z34+Z36+Z37+Z38+Z39</f>
        <v>255</v>
      </c>
      <c r="AA41" s="586"/>
      <c r="AB41" s="586"/>
      <c r="AC41" s="586"/>
      <c r="AD41" s="586"/>
      <c r="AE41" s="586"/>
      <c r="AF41" s="586"/>
      <c r="AG41" s="586"/>
      <c r="AH41" s="586">
        <f>SUM(AH33+AH36+AH37+AH38+AH39+AH40+AH30)</f>
        <v>1782</v>
      </c>
      <c r="AI41" s="586"/>
      <c r="AJ41" s="586"/>
      <c r="AK41" s="586"/>
      <c r="AL41" s="586"/>
      <c r="AM41" s="586"/>
      <c r="AN41" s="586"/>
      <c r="AO41" s="586"/>
    </row>
    <row r="42" spans="1:41" ht="28.5" customHeight="1">
      <c r="A42" s="605" t="s">
        <v>435</v>
      </c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42" t="s">
        <v>436</v>
      </c>
      <c r="W42" s="642"/>
      <c r="X42" s="642"/>
      <c r="Y42" s="642"/>
      <c r="Z42" s="586">
        <v>13</v>
      </c>
      <c r="AA42" s="586"/>
      <c r="AB42" s="586"/>
      <c r="AC42" s="586"/>
      <c r="AD42" s="586"/>
      <c r="AE42" s="586"/>
      <c r="AF42" s="586"/>
      <c r="AG42" s="586"/>
      <c r="AH42" s="586">
        <v>13</v>
      </c>
      <c r="AI42" s="586"/>
      <c r="AJ42" s="586"/>
      <c r="AK42" s="586"/>
      <c r="AL42" s="586"/>
      <c r="AM42" s="586"/>
      <c r="AN42" s="586"/>
      <c r="AO42" s="586"/>
    </row>
    <row r="43" spans="1:41" ht="22.5" customHeight="1">
      <c r="A43" s="639" t="s">
        <v>437</v>
      </c>
      <c r="B43" s="640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1"/>
      <c r="V43" s="642" t="s">
        <v>438</v>
      </c>
      <c r="W43" s="642"/>
      <c r="X43" s="642"/>
      <c r="Y43" s="642"/>
      <c r="Z43" s="643">
        <f>Z28+Z41+Z42</f>
        <v>4100</v>
      </c>
      <c r="AA43" s="586"/>
      <c r="AB43" s="586"/>
      <c r="AC43" s="586"/>
      <c r="AD43" s="586"/>
      <c r="AE43" s="586"/>
      <c r="AF43" s="586"/>
      <c r="AG43" s="586"/>
      <c r="AH43" s="643">
        <f>AH28+AH41+AH42</f>
        <v>5273</v>
      </c>
      <c r="AI43" s="586"/>
      <c r="AJ43" s="586"/>
      <c r="AK43" s="586"/>
      <c r="AL43" s="586"/>
      <c r="AM43" s="586"/>
      <c r="AN43" s="586"/>
      <c r="AO43" s="586"/>
    </row>
    <row r="44" spans="1:41" ht="4.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26"/>
      <c r="X44" s="126"/>
      <c r="Y44" s="126"/>
      <c r="Z44" s="127"/>
      <c r="AA44" s="127"/>
      <c r="AB44" s="127"/>
      <c r="AC44" s="127"/>
      <c r="AD44" s="127"/>
      <c r="AE44" s="127"/>
      <c r="AF44" s="127"/>
      <c r="AG44" s="127"/>
      <c r="AH44" s="128"/>
      <c r="AI44" s="128"/>
      <c r="AJ44" s="128"/>
      <c r="AK44" s="128"/>
      <c r="AL44" s="128"/>
      <c r="AM44" s="128"/>
      <c r="AN44" s="128"/>
      <c r="AO44" s="128"/>
    </row>
    <row r="45" spans="1:41" ht="27" customHeight="1">
      <c r="A45" s="590" t="s">
        <v>169</v>
      </c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 t="s">
        <v>394</v>
      </c>
      <c r="W45" s="590"/>
      <c r="X45" s="590"/>
      <c r="Y45" s="590"/>
      <c r="Z45" s="590" t="s">
        <v>395</v>
      </c>
      <c r="AA45" s="590"/>
      <c r="AB45" s="590"/>
      <c r="AC45" s="590"/>
      <c r="AD45" s="590"/>
      <c r="AE45" s="590"/>
      <c r="AF45" s="590"/>
      <c r="AG45" s="590"/>
      <c r="AH45" s="590" t="s">
        <v>396</v>
      </c>
      <c r="AI45" s="590"/>
      <c r="AJ45" s="590"/>
      <c r="AK45" s="590"/>
      <c r="AL45" s="590"/>
      <c r="AM45" s="590"/>
      <c r="AN45" s="590"/>
      <c r="AO45" s="590"/>
    </row>
    <row r="46" spans="1:41" ht="12.75" customHeight="1">
      <c r="A46" s="587">
        <v>1</v>
      </c>
      <c r="B46" s="588"/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589"/>
      <c r="V46" s="636">
        <v>2</v>
      </c>
      <c r="W46" s="636"/>
      <c r="X46" s="636"/>
      <c r="Y46" s="636"/>
      <c r="Z46" s="578">
        <v>3</v>
      </c>
      <c r="AA46" s="579"/>
      <c r="AB46" s="579"/>
      <c r="AC46" s="579"/>
      <c r="AD46" s="579"/>
      <c r="AE46" s="579"/>
      <c r="AF46" s="579"/>
      <c r="AG46" s="580"/>
      <c r="AH46" s="578">
        <v>4</v>
      </c>
      <c r="AI46" s="579"/>
      <c r="AJ46" s="579"/>
      <c r="AK46" s="579"/>
      <c r="AL46" s="579"/>
      <c r="AM46" s="579"/>
      <c r="AN46" s="579"/>
      <c r="AO46" s="580"/>
    </row>
    <row r="47" spans="1:41" ht="19.5" customHeight="1">
      <c r="A47" s="633" t="s">
        <v>439</v>
      </c>
      <c r="B47" s="634"/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35"/>
      <c r="V47" s="636"/>
      <c r="W47" s="636"/>
      <c r="X47" s="636"/>
      <c r="Y47" s="636"/>
      <c r="Z47" s="637"/>
      <c r="AA47" s="637"/>
      <c r="AB47" s="637"/>
      <c r="AC47" s="637"/>
      <c r="AD47" s="637"/>
      <c r="AE47" s="637"/>
      <c r="AF47" s="637"/>
      <c r="AG47" s="637"/>
      <c r="AH47" s="638"/>
      <c r="AI47" s="638"/>
      <c r="AJ47" s="638"/>
      <c r="AK47" s="638"/>
      <c r="AL47" s="638"/>
      <c r="AM47" s="638"/>
      <c r="AN47" s="638"/>
      <c r="AO47" s="638"/>
    </row>
    <row r="48" spans="1:41" ht="13.5" customHeight="1">
      <c r="A48" s="609" t="s">
        <v>440</v>
      </c>
      <c r="B48" s="609"/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36" t="s">
        <v>441</v>
      </c>
      <c r="W48" s="636"/>
      <c r="X48" s="636"/>
      <c r="Y48" s="636"/>
      <c r="Z48" s="583">
        <v>2500</v>
      </c>
      <c r="AA48" s="583"/>
      <c r="AB48" s="583"/>
      <c r="AC48" s="583"/>
      <c r="AD48" s="583"/>
      <c r="AE48" s="583"/>
      <c r="AF48" s="583"/>
      <c r="AG48" s="583"/>
      <c r="AH48" s="583">
        <v>2950</v>
      </c>
      <c r="AI48" s="583"/>
      <c r="AJ48" s="583"/>
      <c r="AK48" s="583"/>
      <c r="AL48" s="583"/>
      <c r="AM48" s="583"/>
      <c r="AN48" s="583"/>
      <c r="AO48" s="583"/>
    </row>
    <row r="49" spans="1:41" ht="13.5" customHeight="1">
      <c r="A49" s="609" t="s">
        <v>442</v>
      </c>
      <c r="B49" s="609"/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36" t="s">
        <v>443</v>
      </c>
      <c r="W49" s="636"/>
      <c r="X49" s="636"/>
      <c r="Y49" s="636"/>
      <c r="Z49" s="583">
        <v>145</v>
      </c>
      <c r="AA49" s="583"/>
      <c r="AB49" s="583"/>
      <c r="AC49" s="583"/>
      <c r="AD49" s="583"/>
      <c r="AE49" s="583"/>
      <c r="AF49" s="583"/>
      <c r="AG49" s="583"/>
      <c r="AH49" s="583">
        <v>225</v>
      </c>
      <c r="AI49" s="583"/>
      <c r="AJ49" s="583"/>
      <c r="AK49" s="583"/>
      <c r="AL49" s="583"/>
      <c r="AM49" s="583"/>
      <c r="AN49" s="583"/>
      <c r="AO49" s="583"/>
    </row>
    <row r="50" spans="1:41" ht="13.5" customHeight="1">
      <c r="A50" s="609" t="s">
        <v>444</v>
      </c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36" t="s">
        <v>445</v>
      </c>
      <c r="W50" s="636"/>
      <c r="X50" s="636"/>
      <c r="Y50" s="636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</row>
    <row r="51" spans="1:41" ht="13.5" customHeight="1">
      <c r="A51" s="609" t="s">
        <v>446</v>
      </c>
      <c r="B51" s="609"/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36" t="s">
        <v>447</v>
      </c>
      <c r="W51" s="636"/>
      <c r="X51" s="636"/>
      <c r="Y51" s="636"/>
      <c r="Z51" s="583">
        <v>1385</v>
      </c>
      <c r="AA51" s="583"/>
      <c r="AB51" s="583"/>
      <c r="AC51" s="583"/>
      <c r="AD51" s="583"/>
      <c r="AE51" s="583"/>
      <c r="AF51" s="583"/>
      <c r="AG51" s="583"/>
      <c r="AH51" s="583">
        <v>1575</v>
      </c>
      <c r="AI51" s="583"/>
      <c r="AJ51" s="583"/>
      <c r="AK51" s="583"/>
      <c r="AL51" s="583"/>
      <c r="AM51" s="583"/>
      <c r="AN51" s="583"/>
      <c r="AO51" s="583"/>
    </row>
    <row r="52" spans="1:41" ht="13.5" customHeight="1">
      <c r="A52" s="609" t="s">
        <v>448</v>
      </c>
      <c r="B52" s="609"/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36" t="s">
        <v>449</v>
      </c>
      <c r="W52" s="636"/>
      <c r="X52" s="636"/>
      <c r="Y52" s="636"/>
      <c r="Z52" s="578" t="s">
        <v>450</v>
      </c>
      <c r="AA52" s="579"/>
      <c r="AB52" s="579"/>
      <c r="AC52" s="579"/>
      <c r="AD52" s="579"/>
      <c r="AE52" s="579"/>
      <c r="AF52" s="579"/>
      <c r="AG52" s="580"/>
      <c r="AH52" s="578">
        <v>-50</v>
      </c>
      <c r="AI52" s="579"/>
      <c r="AJ52" s="579"/>
      <c r="AK52" s="579"/>
      <c r="AL52" s="579"/>
      <c r="AM52" s="579"/>
      <c r="AN52" s="579"/>
      <c r="AO52" s="580"/>
    </row>
    <row r="53" spans="1:41" ht="19.5" customHeight="1">
      <c r="A53" s="604" t="s">
        <v>180</v>
      </c>
      <c r="B53" s="604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5" t="s">
        <v>452</v>
      </c>
      <c r="W53" s="605"/>
      <c r="X53" s="605"/>
      <c r="Y53" s="605"/>
      <c r="Z53" s="586">
        <f>SUM(Z48:AG51)</f>
        <v>4030</v>
      </c>
      <c r="AA53" s="586"/>
      <c r="AB53" s="586"/>
      <c r="AC53" s="586"/>
      <c r="AD53" s="586"/>
      <c r="AE53" s="586"/>
      <c r="AF53" s="586"/>
      <c r="AG53" s="586"/>
      <c r="AH53" s="586">
        <f>SUM(AH48:AO52)</f>
        <v>4700</v>
      </c>
      <c r="AI53" s="586"/>
      <c r="AJ53" s="586"/>
      <c r="AK53" s="586"/>
      <c r="AL53" s="586"/>
      <c r="AM53" s="586"/>
      <c r="AN53" s="586"/>
      <c r="AO53" s="586"/>
    </row>
    <row r="54" spans="1:41" ht="27" customHeight="1">
      <c r="A54" s="606" t="s">
        <v>453</v>
      </c>
      <c r="B54" s="607"/>
      <c r="C54" s="607"/>
      <c r="D54" s="607"/>
      <c r="E54" s="607"/>
      <c r="F54" s="607"/>
      <c r="G54" s="607"/>
      <c r="H54" s="607"/>
      <c r="I54" s="607"/>
      <c r="J54" s="607"/>
      <c r="K54" s="607"/>
      <c r="L54" s="607"/>
      <c r="M54" s="607"/>
      <c r="N54" s="607"/>
      <c r="O54" s="607"/>
      <c r="P54" s="607"/>
      <c r="Q54" s="607"/>
      <c r="R54" s="607"/>
      <c r="S54" s="607"/>
      <c r="T54" s="607"/>
      <c r="U54" s="608"/>
      <c r="V54" s="605" t="s">
        <v>454</v>
      </c>
      <c r="W54" s="605"/>
      <c r="X54" s="605"/>
      <c r="Y54" s="605"/>
      <c r="Z54" s="586">
        <v>14</v>
      </c>
      <c r="AA54" s="586"/>
      <c r="AB54" s="586"/>
      <c r="AC54" s="586"/>
      <c r="AD54" s="586"/>
      <c r="AE54" s="586"/>
      <c r="AF54" s="586"/>
      <c r="AG54" s="586"/>
      <c r="AH54" s="586">
        <v>144</v>
      </c>
      <c r="AI54" s="586"/>
      <c r="AJ54" s="586"/>
      <c r="AK54" s="586"/>
      <c r="AL54" s="586"/>
      <c r="AM54" s="586"/>
      <c r="AN54" s="586"/>
      <c r="AO54" s="586"/>
    </row>
    <row r="55" spans="1:41" ht="18" customHeight="1">
      <c r="A55" s="633" t="s">
        <v>455</v>
      </c>
      <c r="B55" s="634"/>
      <c r="C55" s="634"/>
      <c r="D55" s="634"/>
      <c r="E55" s="634"/>
      <c r="F55" s="634"/>
      <c r="G55" s="634"/>
      <c r="H55" s="634"/>
      <c r="I55" s="634"/>
      <c r="J55" s="634"/>
      <c r="K55" s="634"/>
      <c r="L55" s="634"/>
      <c r="M55" s="634"/>
      <c r="N55" s="634"/>
      <c r="O55" s="634"/>
      <c r="P55" s="634"/>
      <c r="Q55" s="634"/>
      <c r="R55" s="634"/>
      <c r="S55" s="634"/>
      <c r="T55" s="634"/>
      <c r="U55" s="635"/>
      <c r="V55" s="605"/>
      <c r="W55" s="605"/>
      <c r="X55" s="605"/>
      <c r="Y55" s="605"/>
      <c r="Z55" s="583"/>
      <c r="AA55" s="583"/>
      <c r="AB55" s="583"/>
      <c r="AC55" s="583"/>
      <c r="AD55" s="583"/>
      <c r="AE55" s="583"/>
      <c r="AF55" s="583"/>
      <c r="AG55" s="583"/>
      <c r="AH55" s="583"/>
      <c r="AI55" s="583"/>
      <c r="AJ55" s="583"/>
      <c r="AK55" s="583"/>
      <c r="AL55" s="583"/>
      <c r="AM55" s="583"/>
      <c r="AN55" s="583"/>
      <c r="AO55" s="583"/>
    </row>
    <row r="56" spans="1:41" ht="13.5" customHeight="1">
      <c r="A56" s="609" t="s">
        <v>456</v>
      </c>
      <c r="B56" s="609"/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587" t="s">
        <v>457</v>
      </c>
      <c r="W56" s="588"/>
      <c r="X56" s="588"/>
      <c r="Y56" s="589"/>
      <c r="Z56" s="583">
        <v>2</v>
      </c>
      <c r="AA56" s="583"/>
      <c r="AB56" s="583"/>
      <c r="AC56" s="583"/>
      <c r="AD56" s="583"/>
      <c r="AE56" s="583"/>
      <c r="AF56" s="583"/>
      <c r="AG56" s="583"/>
      <c r="AH56" s="583">
        <v>3</v>
      </c>
      <c r="AI56" s="583"/>
      <c r="AJ56" s="583"/>
      <c r="AK56" s="583"/>
      <c r="AL56" s="583"/>
      <c r="AM56" s="583"/>
      <c r="AN56" s="583"/>
      <c r="AO56" s="583"/>
    </row>
    <row r="57" spans="1:41" ht="13.5" customHeight="1">
      <c r="A57" s="624" t="s">
        <v>458</v>
      </c>
      <c r="B57" s="625"/>
      <c r="C57" s="625"/>
      <c r="D57" s="625"/>
      <c r="E57" s="625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6"/>
      <c r="V57" s="627"/>
      <c r="W57" s="628"/>
      <c r="X57" s="628"/>
      <c r="Y57" s="629"/>
      <c r="Z57" s="630"/>
      <c r="AA57" s="631"/>
      <c r="AB57" s="631"/>
      <c r="AC57" s="631"/>
      <c r="AD57" s="631"/>
      <c r="AE57" s="631"/>
      <c r="AF57" s="631"/>
      <c r="AG57" s="632"/>
      <c r="AH57" s="630"/>
      <c r="AI57" s="631"/>
      <c r="AJ57" s="631"/>
      <c r="AK57" s="631"/>
      <c r="AL57" s="631"/>
      <c r="AM57" s="631"/>
      <c r="AN57" s="631"/>
      <c r="AO57" s="632"/>
    </row>
    <row r="58" spans="1:41" ht="13.5" customHeight="1">
      <c r="A58" s="615" t="s">
        <v>459</v>
      </c>
      <c r="B58" s="616"/>
      <c r="C58" s="616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6"/>
      <c r="S58" s="616"/>
      <c r="T58" s="616"/>
      <c r="U58" s="617"/>
      <c r="V58" s="618" t="s">
        <v>460</v>
      </c>
      <c r="W58" s="619"/>
      <c r="X58" s="619"/>
      <c r="Y58" s="620"/>
      <c r="Z58" s="621"/>
      <c r="AA58" s="622"/>
      <c r="AB58" s="622"/>
      <c r="AC58" s="622"/>
      <c r="AD58" s="622"/>
      <c r="AE58" s="622"/>
      <c r="AF58" s="622"/>
      <c r="AG58" s="623"/>
      <c r="AH58" s="621">
        <v>38</v>
      </c>
      <c r="AI58" s="622"/>
      <c r="AJ58" s="622"/>
      <c r="AK58" s="622"/>
      <c r="AL58" s="622"/>
      <c r="AM58" s="622"/>
      <c r="AN58" s="622"/>
      <c r="AO58" s="623"/>
    </row>
    <row r="59" spans="1:41" ht="13.5" customHeight="1">
      <c r="A59" s="613" t="s">
        <v>461</v>
      </c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587" t="s">
        <v>462</v>
      </c>
      <c r="W59" s="588"/>
      <c r="X59" s="588"/>
      <c r="Y59" s="589"/>
      <c r="Z59" s="583">
        <v>23</v>
      </c>
      <c r="AA59" s="583"/>
      <c r="AB59" s="583"/>
      <c r="AC59" s="583"/>
      <c r="AD59" s="583"/>
      <c r="AE59" s="583"/>
      <c r="AF59" s="583"/>
      <c r="AG59" s="583"/>
      <c r="AH59" s="578">
        <v>68</v>
      </c>
      <c r="AI59" s="579"/>
      <c r="AJ59" s="579"/>
      <c r="AK59" s="579"/>
      <c r="AL59" s="579"/>
      <c r="AM59" s="579"/>
      <c r="AN59" s="579"/>
      <c r="AO59" s="580"/>
    </row>
    <row r="60" spans="1:41" ht="13.5" customHeight="1">
      <c r="A60" s="613" t="s">
        <v>463</v>
      </c>
      <c r="B60" s="613"/>
      <c r="C60" s="613"/>
      <c r="D60" s="613"/>
      <c r="E60" s="613"/>
      <c r="F60" s="613"/>
      <c r="G60" s="613"/>
      <c r="H60" s="613"/>
      <c r="I60" s="613"/>
      <c r="J60" s="613"/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  <c r="V60" s="587" t="s">
        <v>464</v>
      </c>
      <c r="W60" s="588"/>
      <c r="X60" s="588"/>
      <c r="Y60" s="589"/>
      <c r="Z60" s="583">
        <v>19</v>
      </c>
      <c r="AA60" s="583"/>
      <c r="AB60" s="583"/>
      <c r="AC60" s="583"/>
      <c r="AD60" s="583"/>
      <c r="AE60" s="583"/>
      <c r="AF60" s="583"/>
      <c r="AG60" s="583"/>
      <c r="AH60" s="578">
        <v>146</v>
      </c>
      <c r="AI60" s="579"/>
      <c r="AJ60" s="579"/>
      <c r="AK60" s="579"/>
      <c r="AL60" s="579"/>
      <c r="AM60" s="579"/>
      <c r="AN60" s="579"/>
      <c r="AO60" s="580"/>
    </row>
    <row r="61" spans="1:41" ht="13.5" customHeight="1">
      <c r="A61" s="614" t="s">
        <v>465</v>
      </c>
      <c r="B61" s="614"/>
      <c r="C61" s="614"/>
      <c r="D61" s="614"/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587" t="s">
        <v>466</v>
      </c>
      <c r="W61" s="588"/>
      <c r="X61" s="588"/>
      <c r="Y61" s="589"/>
      <c r="Z61" s="583"/>
      <c r="AA61" s="583"/>
      <c r="AB61" s="583"/>
      <c r="AC61" s="583"/>
      <c r="AD61" s="583"/>
      <c r="AE61" s="583"/>
      <c r="AF61" s="583"/>
      <c r="AG61" s="583"/>
      <c r="AH61" s="578">
        <v>2</v>
      </c>
      <c r="AI61" s="579"/>
      <c r="AJ61" s="579"/>
      <c r="AK61" s="579"/>
      <c r="AL61" s="579"/>
      <c r="AM61" s="579"/>
      <c r="AN61" s="579"/>
      <c r="AO61" s="580"/>
    </row>
    <row r="62" spans="1:41" ht="13.5" customHeight="1">
      <c r="A62" s="613" t="s">
        <v>467</v>
      </c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587" t="s">
        <v>468</v>
      </c>
      <c r="W62" s="588"/>
      <c r="X62" s="588"/>
      <c r="Y62" s="589"/>
      <c r="Z62" s="583"/>
      <c r="AA62" s="583"/>
      <c r="AB62" s="583"/>
      <c r="AC62" s="583"/>
      <c r="AD62" s="583"/>
      <c r="AE62" s="583"/>
      <c r="AF62" s="583"/>
      <c r="AG62" s="583"/>
      <c r="AH62" s="578">
        <v>41</v>
      </c>
      <c r="AI62" s="579"/>
      <c r="AJ62" s="579"/>
      <c r="AK62" s="579"/>
      <c r="AL62" s="579"/>
      <c r="AM62" s="579"/>
      <c r="AN62" s="579"/>
      <c r="AO62" s="580"/>
    </row>
    <row r="63" spans="1:41" ht="13.5" customHeight="1">
      <c r="A63" s="610" t="s">
        <v>469</v>
      </c>
      <c r="B63" s="611"/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1"/>
      <c r="O63" s="611"/>
      <c r="P63" s="611"/>
      <c r="Q63" s="611"/>
      <c r="R63" s="611"/>
      <c r="S63" s="611"/>
      <c r="T63" s="611"/>
      <c r="U63" s="612"/>
      <c r="V63" s="587" t="s">
        <v>470</v>
      </c>
      <c r="W63" s="588"/>
      <c r="X63" s="588"/>
      <c r="Y63" s="589"/>
      <c r="Z63" s="578">
        <v>10</v>
      </c>
      <c r="AA63" s="579"/>
      <c r="AB63" s="579"/>
      <c r="AC63" s="579"/>
      <c r="AD63" s="579"/>
      <c r="AE63" s="579"/>
      <c r="AF63" s="579"/>
      <c r="AG63" s="580"/>
      <c r="AH63" s="578">
        <v>96</v>
      </c>
      <c r="AI63" s="579"/>
      <c r="AJ63" s="579"/>
      <c r="AK63" s="579"/>
      <c r="AL63" s="579"/>
      <c r="AM63" s="579"/>
      <c r="AN63" s="579"/>
      <c r="AO63" s="580"/>
    </row>
    <row r="64" spans="1:41" ht="13.5" customHeight="1">
      <c r="A64" s="584" t="s">
        <v>197</v>
      </c>
      <c r="B64" s="572"/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3"/>
      <c r="V64" s="587" t="s">
        <v>471</v>
      </c>
      <c r="W64" s="588"/>
      <c r="X64" s="588"/>
      <c r="Y64" s="589"/>
      <c r="Z64" s="578"/>
      <c r="AA64" s="579"/>
      <c r="AB64" s="579"/>
      <c r="AC64" s="579"/>
      <c r="AD64" s="579"/>
      <c r="AE64" s="579"/>
      <c r="AF64" s="579"/>
      <c r="AG64" s="580"/>
      <c r="AH64" s="578"/>
      <c r="AI64" s="579"/>
      <c r="AJ64" s="579"/>
      <c r="AK64" s="579"/>
      <c r="AL64" s="579"/>
      <c r="AM64" s="579"/>
      <c r="AN64" s="579"/>
      <c r="AO64" s="580"/>
    </row>
    <row r="65" spans="1:41" ht="13.5" customHeight="1">
      <c r="A65" s="609" t="s">
        <v>472</v>
      </c>
      <c r="B65" s="609"/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  <c r="O65" s="609"/>
      <c r="P65" s="609"/>
      <c r="Q65" s="609"/>
      <c r="R65" s="609"/>
      <c r="S65" s="609"/>
      <c r="T65" s="609"/>
      <c r="U65" s="609"/>
      <c r="V65" s="587" t="s">
        <v>473</v>
      </c>
      <c r="W65" s="588"/>
      <c r="X65" s="588"/>
      <c r="Y65" s="589"/>
      <c r="Z65" s="583">
        <v>0</v>
      </c>
      <c r="AA65" s="583"/>
      <c r="AB65" s="583"/>
      <c r="AC65" s="583"/>
      <c r="AD65" s="583"/>
      <c r="AE65" s="583"/>
      <c r="AF65" s="583"/>
      <c r="AG65" s="583"/>
      <c r="AH65" s="578">
        <v>36</v>
      </c>
      <c r="AI65" s="579"/>
      <c r="AJ65" s="579"/>
      <c r="AK65" s="579"/>
      <c r="AL65" s="579"/>
      <c r="AM65" s="579"/>
      <c r="AN65" s="579"/>
      <c r="AO65" s="580"/>
    </row>
    <row r="66" spans="1:41" ht="17.25" customHeight="1">
      <c r="A66" s="604" t="s">
        <v>474</v>
      </c>
      <c r="B66" s="604"/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4"/>
      <c r="N66" s="604"/>
      <c r="O66" s="604"/>
      <c r="P66" s="604"/>
      <c r="Q66" s="604"/>
      <c r="R66" s="604"/>
      <c r="S66" s="604"/>
      <c r="T66" s="604"/>
      <c r="U66" s="604"/>
      <c r="V66" s="587" t="s">
        <v>475</v>
      </c>
      <c r="W66" s="588"/>
      <c r="X66" s="588"/>
      <c r="Y66" s="589"/>
      <c r="Z66" s="586">
        <f>SUM(Z56:AG65)</f>
        <v>54</v>
      </c>
      <c r="AA66" s="586"/>
      <c r="AB66" s="586"/>
      <c r="AC66" s="586"/>
      <c r="AD66" s="586"/>
      <c r="AE66" s="586"/>
      <c r="AF66" s="586"/>
      <c r="AG66" s="586"/>
      <c r="AH66" s="586">
        <f>SUM(AH56:AO65)</f>
        <v>430</v>
      </c>
      <c r="AI66" s="586"/>
      <c r="AJ66" s="586"/>
      <c r="AK66" s="586"/>
      <c r="AL66" s="586"/>
      <c r="AM66" s="586"/>
      <c r="AN66" s="586"/>
      <c r="AO66" s="586"/>
    </row>
    <row r="67" spans="1:41" ht="26.25" customHeight="1">
      <c r="A67" s="606" t="s">
        <v>476</v>
      </c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8"/>
      <c r="V67" s="605" t="s">
        <v>477</v>
      </c>
      <c r="W67" s="605"/>
      <c r="X67" s="605"/>
      <c r="Y67" s="605"/>
      <c r="Z67" s="586"/>
      <c r="AA67" s="586"/>
      <c r="AB67" s="586"/>
      <c r="AC67" s="586"/>
      <c r="AD67" s="586"/>
      <c r="AE67" s="586"/>
      <c r="AF67" s="586"/>
      <c r="AG67" s="586"/>
      <c r="AH67" s="586"/>
      <c r="AI67" s="586"/>
      <c r="AJ67" s="586"/>
      <c r="AK67" s="586"/>
      <c r="AL67" s="586"/>
      <c r="AM67" s="586"/>
      <c r="AN67" s="586"/>
      <c r="AO67" s="586"/>
    </row>
    <row r="68" spans="1:41" ht="17.25" customHeight="1">
      <c r="A68" s="604" t="s">
        <v>437</v>
      </c>
      <c r="B68" s="604"/>
      <c r="C68" s="604"/>
      <c r="D68" s="604"/>
      <c r="E68" s="604"/>
      <c r="F68" s="604"/>
      <c r="G68" s="604"/>
      <c r="H68" s="604"/>
      <c r="I68" s="604"/>
      <c r="J68" s="604"/>
      <c r="K68" s="604"/>
      <c r="L68" s="604"/>
      <c r="M68" s="604"/>
      <c r="N68" s="604"/>
      <c r="O68" s="604"/>
      <c r="P68" s="604"/>
      <c r="Q68" s="604"/>
      <c r="R68" s="604"/>
      <c r="S68" s="604"/>
      <c r="T68" s="604"/>
      <c r="U68" s="604"/>
      <c r="V68" s="605" t="s">
        <v>478</v>
      </c>
      <c r="W68" s="605"/>
      <c r="X68" s="605"/>
      <c r="Y68" s="605"/>
      <c r="Z68" s="586">
        <f>Z53+Z54+Z66</f>
        <v>4098</v>
      </c>
      <c r="AA68" s="586"/>
      <c r="AB68" s="586"/>
      <c r="AC68" s="586"/>
      <c r="AD68" s="586"/>
      <c r="AE68" s="586"/>
      <c r="AF68" s="586"/>
      <c r="AG68" s="586"/>
      <c r="AH68" s="586">
        <f>AH53+AH54+AH66</f>
        <v>5274</v>
      </c>
      <c r="AI68" s="586"/>
      <c r="AJ68" s="586"/>
      <c r="AK68" s="586"/>
      <c r="AL68" s="586"/>
      <c r="AM68" s="586"/>
      <c r="AN68" s="586"/>
      <c r="AO68" s="586"/>
    </row>
    <row r="69" spans="1:22" ht="12" customHeight="1">
      <c r="A69" s="123"/>
      <c r="B69" s="123"/>
      <c r="C69" s="123"/>
      <c r="D69" s="123"/>
      <c r="F69" s="123"/>
      <c r="G69" s="123"/>
      <c r="H69" s="123"/>
      <c r="I69" s="123"/>
      <c r="J69" s="123"/>
      <c r="K69" s="123"/>
      <c r="L69" s="118"/>
      <c r="V69" s="123"/>
    </row>
    <row r="70" spans="1:41" ht="14.25" customHeight="1">
      <c r="A70" s="598" t="s">
        <v>479</v>
      </c>
      <c r="B70" s="598"/>
      <c r="C70" s="598"/>
      <c r="D70" s="598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598"/>
      <c r="V70" s="598"/>
      <c r="W70" s="598"/>
      <c r="X70" s="598"/>
      <c r="Y70" s="598"/>
      <c r="Z70" s="598"/>
      <c r="AA70" s="598"/>
      <c r="AB70" s="598"/>
      <c r="AC70" s="598"/>
      <c r="AD70" s="598"/>
      <c r="AE70" s="598"/>
      <c r="AF70" s="598"/>
      <c r="AG70" s="598"/>
      <c r="AH70" s="598"/>
      <c r="AI70" s="598"/>
      <c r="AJ70" s="598"/>
      <c r="AK70" s="598"/>
      <c r="AL70" s="598"/>
      <c r="AM70" s="598"/>
      <c r="AN70" s="598"/>
      <c r="AO70" s="598"/>
    </row>
    <row r="71" spans="1:41" ht="12.75" customHeight="1">
      <c r="A71" s="598" t="s">
        <v>480</v>
      </c>
      <c r="B71" s="598"/>
      <c r="C71" s="598"/>
      <c r="D71" s="598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598"/>
      <c r="AA71" s="598"/>
      <c r="AB71" s="598"/>
      <c r="AC71" s="598"/>
      <c r="AD71" s="598"/>
      <c r="AE71" s="598"/>
      <c r="AF71" s="598"/>
      <c r="AG71" s="598"/>
      <c r="AH71" s="598"/>
      <c r="AI71" s="598"/>
      <c r="AJ71" s="598"/>
      <c r="AK71" s="598"/>
      <c r="AL71" s="598"/>
      <c r="AM71" s="598"/>
      <c r="AN71" s="598"/>
      <c r="AO71" s="598"/>
    </row>
    <row r="72" spans="1:41" ht="14.25" customHeight="1">
      <c r="A72" s="129"/>
      <c r="B72" s="129"/>
      <c r="C72" s="129"/>
      <c r="D72" s="129"/>
      <c r="E72" s="130"/>
      <c r="F72" s="129"/>
      <c r="G72" s="131"/>
      <c r="H72" s="132"/>
      <c r="I72" s="132"/>
      <c r="J72" s="132"/>
      <c r="K72" s="132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29"/>
      <c r="W72" s="130"/>
      <c r="X72" s="130"/>
      <c r="Y72" s="130"/>
      <c r="Z72" s="599" t="s">
        <v>481</v>
      </c>
      <c r="AA72" s="599"/>
      <c r="AB72" s="599"/>
      <c r="AC72" s="599"/>
      <c r="AD72" s="599"/>
      <c r="AE72" s="599"/>
      <c r="AF72" s="599"/>
      <c r="AG72" s="599"/>
      <c r="AH72" s="133"/>
      <c r="AI72" s="133"/>
      <c r="AJ72" s="133"/>
      <c r="AK72" s="133"/>
      <c r="AL72" s="133"/>
      <c r="AM72" s="133"/>
      <c r="AN72" s="133"/>
      <c r="AO72" s="133"/>
    </row>
    <row r="73" spans="1:41" ht="15" customHeight="1">
      <c r="A73" s="134"/>
      <c r="B73" s="134"/>
      <c r="C73" s="134"/>
      <c r="D73" s="134"/>
      <c r="F73" s="134"/>
      <c r="G73" s="135"/>
      <c r="H73" s="136"/>
      <c r="I73" s="136"/>
      <c r="J73" s="136"/>
      <c r="K73" s="134"/>
      <c r="L73" s="118"/>
      <c r="V73" s="134"/>
      <c r="Z73" s="600" t="s">
        <v>482</v>
      </c>
      <c r="AA73" s="600"/>
      <c r="AB73" s="600"/>
      <c r="AC73" s="600"/>
      <c r="AD73" s="600"/>
      <c r="AE73" s="600"/>
      <c r="AF73" s="600"/>
      <c r="AG73" s="600"/>
      <c r="AH73" s="601">
        <v>1801007</v>
      </c>
      <c r="AI73" s="602"/>
      <c r="AJ73" s="602"/>
      <c r="AK73" s="602"/>
      <c r="AL73" s="602"/>
      <c r="AM73" s="602"/>
      <c r="AN73" s="602"/>
      <c r="AO73" s="603"/>
    </row>
    <row r="74" spans="1:41" ht="12" customHeight="1">
      <c r="A74" s="134"/>
      <c r="B74" s="134"/>
      <c r="C74" s="134"/>
      <c r="D74" s="134"/>
      <c r="F74" s="134"/>
      <c r="G74" s="135"/>
      <c r="H74" s="136"/>
      <c r="I74" s="136"/>
      <c r="J74" s="136"/>
      <c r="K74" s="134"/>
      <c r="L74" s="118"/>
      <c r="V74" s="134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</row>
    <row r="75" spans="1:41" ht="41.25" customHeight="1">
      <c r="A75" s="590" t="s">
        <v>209</v>
      </c>
      <c r="B75" s="590"/>
      <c r="C75" s="590"/>
      <c r="D75" s="590"/>
      <c r="E75" s="590"/>
      <c r="F75" s="590"/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0"/>
      <c r="R75" s="590"/>
      <c r="S75" s="590"/>
      <c r="T75" s="590"/>
      <c r="U75" s="590"/>
      <c r="V75" s="591" t="s">
        <v>394</v>
      </c>
      <c r="W75" s="591"/>
      <c r="X75" s="591"/>
      <c r="Y75" s="591"/>
      <c r="Z75" s="592" t="s">
        <v>210</v>
      </c>
      <c r="AA75" s="593"/>
      <c r="AB75" s="593"/>
      <c r="AC75" s="593"/>
      <c r="AD75" s="593"/>
      <c r="AE75" s="593"/>
      <c r="AF75" s="593"/>
      <c r="AG75" s="594"/>
      <c r="AH75" s="595" t="s">
        <v>483</v>
      </c>
      <c r="AI75" s="596"/>
      <c r="AJ75" s="596"/>
      <c r="AK75" s="596"/>
      <c r="AL75" s="596"/>
      <c r="AM75" s="596"/>
      <c r="AN75" s="596"/>
      <c r="AO75" s="597"/>
    </row>
    <row r="76" spans="1:41" ht="14.25" customHeight="1">
      <c r="A76" s="587">
        <v>1</v>
      </c>
      <c r="B76" s="588"/>
      <c r="C76" s="588"/>
      <c r="D76" s="588"/>
      <c r="E76" s="588"/>
      <c r="F76" s="588"/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8"/>
      <c r="S76" s="588"/>
      <c r="T76" s="588"/>
      <c r="U76" s="589"/>
      <c r="V76" s="582" t="s">
        <v>397</v>
      </c>
      <c r="W76" s="582"/>
      <c r="X76" s="582"/>
      <c r="Y76" s="582"/>
      <c r="Z76" s="583">
        <v>3</v>
      </c>
      <c r="AA76" s="583"/>
      <c r="AB76" s="583"/>
      <c r="AC76" s="583"/>
      <c r="AD76" s="583"/>
      <c r="AE76" s="583"/>
      <c r="AF76" s="583"/>
      <c r="AG76" s="583"/>
      <c r="AH76" s="583">
        <v>4</v>
      </c>
      <c r="AI76" s="583"/>
      <c r="AJ76" s="583"/>
      <c r="AK76" s="583"/>
      <c r="AL76" s="583"/>
      <c r="AM76" s="583"/>
      <c r="AN76" s="583"/>
      <c r="AO76" s="583"/>
    </row>
    <row r="77" spans="1:41" ht="27" customHeight="1">
      <c r="A77" s="581" t="s">
        <v>484</v>
      </c>
      <c r="B77" s="581"/>
      <c r="C77" s="581"/>
      <c r="D77" s="581"/>
      <c r="E77" s="581"/>
      <c r="F77" s="581"/>
      <c r="G77" s="581"/>
      <c r="H77" s="581"/>
      <c r="I77" s="581"/>
      <c r="J77" s="581"/>
      <c r="K77" s="581"/>
      <c r="L77" s="581"/>
      <c r="M77" s="581"/>
      <c r="N77" s="581"/>
      <c r="O77" s="581"/>
      <c r="P77" s="581"/>
      <c r="Q77" s="581"/>
      <c r="R77" s="581"/>
      <c r="S77" s="581"/>
      <c r="T77" s="581"/>
      <c r="U77" s="581"/>
      <c r="V77" s="582" t="s">
        <v>485</v>
      </c>
      <c r="W77" s="582"/>
      <c r="X77" s="582"/>
      <c r="Y77" s="582"/>
      <c r="Z77" s="583">
        <v>674</v>
      </c>
      <c r="AA77" s="583"/>
      <c r="AB77" s="583"/>
      <c r="AC77" s="583"/>
      <c r="AD77" s="583"/>
      <c r="AE77" s="583"/>
      <c r="AF77" s="583"/>
      <c r="AG77" s="583"/>
      <c r="AH77" s="583"/>
      <c r="AI77" s="583"/>
      <c r="AJ77" s="583"/>
      <c r="AK77" s="583"/>
      <c r="AL77" s="583"/>
      <c r="AM77" s="583"/>
      <c r="AN77" s="583"/>
      <c r="AO77" s="583"/>
    </row>
    <row r="78" spans="1:41" ht="14.25" customHeight="1">
      <c r="A78" s="581" t="s">
        <v>279</v>
      </c>
      <c r="B78" s="581"/>
      <c r="C78" s="581"/>
      <c r="D78" s="581"/>
      <c r="E78" s="581"/>
      <c r="F78" s="581"/>
      <c r="G78" s="581"/>
      <c r="H78" s="581"/>
      <c r="I78" s="581"/>
      <c r="J78" s="581"/>
      <c r="K78" s="581"/>
      <c r="L78" s="581"/>
      <c r="M78" s="581"/>
      <c r="N78" s="581"/>
      <c r="O78" s="581"/>
      <c r="P78" s="581"/>
      <c r="Q78" s="581"/>
      <c r="R78" s="581"/>
      <c r="S78" s="581"/>
      <c r="T78" s="581"/>
      <c r="U78" s="581"/>
      <c r="V78" s="582" t="s">
        <v>486</v>
      </c>
      <c r="W78" s="582"/>
      <c r="X78" s="582"/>
      <c r="Y78" s="582"/>
      <c r="Z78" s="578">
        <v>38</v>
      </c>
      <c r="AA78" s="579"/>
      <c r="AB78" s="579"/>
      <c r="AC78" s="579"/>
      <c r="AD78" s="579"/>
      <c r="AE78" s="579"/>
      <c r="AF78" s="579"/>
      <c r="AG78" s="580"/>
      <c r="AH78" s="578"/>
      <c r="AI78" s="579"/>
      <c r="AJ78" s="579"/>
      <c r="AK78" s="579"/>
      <c r="AL78" s="579"/>
      <c r="AM78" s="579"/>
      <c r="AN78" s="579"/>
      <c r="AO78" s="580"/>
    </row>
    <row r="79" spans="1:41" ht="14.25" customHeight="1">
      <c r="A79" s="581" t="s">
        <v>284</v>
      </c>
      <c r="B79" s="581"/>
      <c r="C79" s="581"/>
      <c r="D79" s="581"/>
      <c r="E79" s="581"/>
      <c r="F79" s="581"/>
      <c r="G79" s="581"/>
      <c r="H79" s="581"/>
      <c r="I79" s="581"/>
      <c r="J79" s="581"/>
      <c r="K79" s="581"/>
      <c r="L79" s="581"/>
      <c r="M79" s="581"/>
      <c r="N79" s="581"/>
      <c r="O79" s="581"/>
      <c r="P79" s="581"/>
      <c r="Q79" s="581"/>
      <c r="R79" s="581"/>
      <c r="S79" s="581"/>
      <c r="T79" s="581"/>
      <c r="U79" s="581"/>
      <c r="V79" s="582" t="s">
        <v>487</v>
      </c>
      <c r="W79" s="582"/>
      <c r="X79" s="582"/>
      <c r="Y79" s="582"/>
      <c r="Z79" s="583">
        <v>1</v>
      </c>
      <c r="AA79" s="583"/>
      <c r="AB79" s="583"/>
      <c r="AC79" s="583"/>
      <c r="AD79" s="583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</row>
    <row r="80" spans="1:41" ht="16.5" customHeight="1">
      <c r="A80" s="584" t="s">
        <v>488</v>
      </c>
      <c r="B80" s="572"/>
      <c r="C80" s="572"/>
      <c r="D80" s="572"/>
      <c r="E80" s="572"/>
      <c r="F80" s="572"/>
      <c r="G80" s="572"/>
      <c r="H80" s="572"/>
      <c r="I80" s="572"/>
      <c r="J80" s="572"/>
      <c r="K80" s="572"/>
      <c r="L80" s="572"/>
      <c r="M80" s="572"/>
      <c r="N80" s="572"/>
      <c r="O80" s="572"/>
      <c r="P80" s="572"/>
      <c r="Q80" s="572"/>
      <c r="R80" s="572"/>
      <c r="S80" s="572"/>
      <c r="T80" s="572"/>
      <c r="U80" s="573"/>
      <c r="V80" s="574" t="s">
        <v>489</v>
      </c>
      <c r="W80" s="574"/>
      <c r="X80" s="574"/>
      <c r="Y80" s="574"/>
      <c r="Z80" s="586">
        <f>SUM(Z77:AG79)</f>
        <v>713</v>
      </c>
      <c r="AA80" s="586"/>
      <c r="AB80" s="586"/>
      <c r="AC80" s="586"/>
      <c r="AD80" s="586"/>
      <c r="AE80" s="586"/>
      <c r="AF80" s="586"/>
      <c r="AG80" s="586"/>
      <c r="AH80" s="583"/>
      <c r="AI80" s="583"/>
      <c r="AJ80" s="583"/>
      <c r="AK80" s="583"/>
      <c r="AL80" s="583"/>
      <c r="AM80" s="583"/>
      <c r="AN80" s="583"/>
      <c r="AO80" s="583"/>
    </row>
    <row r="81" spans="1:41" ht="27" customHeight="1">
      <c r="A81" s="581" t="s">
        <v>275</v>
      </c>
      <c r="B81" s="581"/>
      <c r="C81" s="581"/>
      <c r="D81" s="581"/>
      <c r="E81" s="581"/>
      <c r="F81" s="581"/>
      <c r="G81" s="581"/>
      <c r="H81" s="581"/>
      <c r="I81" s="581"/>
      <c r="J81" s="581"/>
      <c r="K81" s="581"/>
      <c r="L81" s="581"/>
      <c r="M81" s="581"/>
      <c r="N81" s="581"/>
      <c r="O81" s="581"/>
      <c r="P81" s="581"/>
      <c r="Q81" s="581"/>
      <c r="R81" s="581"/>
      <c r="S81" s="581"/>
      <c r="T81" s="581"/>
      <c r="U81" s="581"/>
      <c r="V81" s="582" t="s">
        <v>490</v>
      </c>
      <c r="W81" s="582"/>
      <c r="X81" s="582"/>
      <c r="Y81" s="582"/>
      <c r="Z81" s="578">
        <v>285</v>
      </c>
      <c r="AA81" s="579"/>
      <c r="AB81" s="579"/>
      <c r="AC81" s="579"/>
      <c r="AD81" s="579"/>
      <c r="AE81" s="579"/>
      <c r="AF81" s="579"/>
      <c r="AG81" s="580"/>
      <c r="AH81" s="578" t="s">
        <v>451</v>
      </c>
      <c r="AI81" s="579"/>
      <c r="AJ81" s="579"/>
      <c r="AK81" s="579"/>
      <c r="AL81" s="579"/>
      <c r="AM81" s="579"/>
      <c r="AN81" s="579"/>
      <c r="AO81" s="580"/>
    </row>
    <row r="82" spans="1:41" ht="14.25" customHeight="1">
      <c r="A82" s="581" t="s">
        <v>228</v>
      </c>
      <c r="B82" s="581"/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1"/>
      <c r="U82" s="581"/>
      <c r="V82" s="582" t="s">
        <v>491</v>
      </c>
      <c r="W82" s="582"/>
      <c r="X82" s="582"/>
      <c r="Y82" s="582"/>
      <c r="Z82" s="585">
        <v>180</v>
      </c>
      <c r="AA82" s="579"/>
      <c r="AB82" s="579"/>
      <c r="AC82" s="579"/>
      <c r="AD82" s="579"/>
      <c r="AE82" s="579"/>
      <c r="AF82" s="579"/>
      <c r="AG82" s="580"/>
      <c r="AH82" s="578" t="s">
        <v>451</v>
      </c>
      <c r="AI82" s="579"/>
      <c r="AJ82" s="579"/>
      <c r="AK82" s="579"/>
      <c r="AL82" s="579"/>
      <c r="AM82" s="579"/>
      <c r="AN82" s="579"/>
      <c r="AO82" s="580"/>
    </row>
    <row r="83" spans="1:41" ht="14.25" customHeight="1">
      <c r="A83" s="581" t="s">
        <v>287</v>
      </c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2" t="s">
        <v>492</v>
      </c>
      <c r="W83" s="582"/>
      <c r="X83" s="582"/>
      <c r="Y83" s="582"/>
      <c r="Z83" s="578">
        <v>38</v>
      </c>
      <c r="AA83" s="579"/>
      <c r="AB83" s="579"/>
      <c r="AC83" s="579"/>
      <c r="AD83" s="579"/>
      <c r="AE83" s="579"/>
      <c r="AF83" s="579"/>
      <c r="AG83" s="580"/>
      <c r="AH83" s="578" t="s">
        <v>451</v>
      </c>
      <c r="AI83" s="579"/>
      <c r="AJ83" s="579"/>
      <c r="AK83" s="579"/>
      <c r="AL83" s="579"/>
      <c r="AM83" s="579"/>
      <c r="AN83" s="579"/>
      <c r="AO83" s="580"/>
    </row>
    <row r="84" spans="1:41" ht="16.5" customHeight="1">
      <c r="A84" s="584" t="s">
        <v>493</v>
      </c>
      <c r="B84" s="572"/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2"/>
      <c r="P84" s="572"/>
      <c r="Q84" s="572"/>
      <c r="R84" s="572"/>
      <c r="S84" s="572"/>
      <c r="T84" s="572"/>
      <c r="U84" s="573"/>
      <c r="V84" s="574" t="s">
        <v>494</v>
      </c>
      <c r="W84" s="574"/>
      <c r="X84" s="574"/>
      <c r="Y84" s="574"/>
      <c r="Z84" s="575">
        <f>SUM(Z81:AG83)</f>
        <v>503</v>
      </c>
      <c r="AA84" s="576"/>
      <c r="AB84" s="576"/>
      <c r="AC84" s="576"/>
      <c r="AD84" s="576"/>
      <c r="AE84" s="576"/>
      <c r="AF84" s="576"/>
      <c r="AG84" s="577"/>
      <c r="AH84" s="578" t="s">
        <v>451</v>
      </c>
      <c r="AI84" s="579"/>
      <c r="AJ84" s="579"/>
      <c r="AK84" s="579"/>
      <c r="AL84" s="579"/>
      <c r="AM84" s="579"/>
      <c r="AN84" s="579"/>
      <c r="AO84" s="580"/>
    </row>
    <row r="85" spans="1:41" ht="14.25" customHeight="1">
      <c r="A85" s="581" t="s">
        <v>495</v>
      </c>
      <c r="B85" s="581"/>
      <c r="C85" s="581"/>
      <c r="D85" s="581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2" t="s">
        <v>496</v>
      </c>
      <c r="W85" s="582"/>
      <c r="X85" s="582"/>
      <c r="Y85" s="582"/>
      <c r="Z85" s="583">
        <f>Z80-Z84</f>
        <v>210</v>
      </c>
      <c r="AA85" s="583"/>
      <c r="AB85" s="583"/>
      <c r="AC85" s="583"/>
      <c r="AD85" s="583"/>
      <c r="AE85" s="583"/>
      <c r="AF85" s="583"/>
      <c r="AG85" s="583"/>
      <c r="AH85" s="583"/>
      <c r="AI85" s="583"/>
      <c r="AJ85" s="583"/>
      <c r="AK85" s="583"/>
      <c r="AL85" s="583"/>
      <c r="AM85" s="583"/>
      <c r="AN85" s="583"/>
      <c r="AO85" s="583"/>
    </row>
    <row r="86" spans="1:41" ht="14.25" customHeight="1">
      <c r="A86" s="581" t="s">
        <v>497</v>
      </c>
      <c r="B86" s="581"/>
      <c r="C86" s="581"/>
      <c r="D86" s="581"/>
      <c r="E86" s="581"/>
      <c r="F86" s="581"/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2" t="s">
        <v>498</v>
      </c>
      <c r="W86" s="582"/>
      <c r="X86" s="582"/>
      <c r="Y86" s="582"/>
      <c r="Z86" s="578">
        <v>5</v>
      </c>
      <c r="AA86" s="579"/>
      <c r="AB86" s="579"/>
      <c r="AC86" s="579"/>
      <c r="AD86" s="579"/>
      <c r="AE86" s="579"/>
      <c r="AF86" s="579"/>
      <c r="AG86" s="580"/>
      <c r="AH86" s="578" t="s">
        <v>451</v>
      </c>
      <c r="AI86" s="579"/>
      <c r="AJ86" s="579"/>
      <c r="AK86" s="579"/>
      <c r="AL86" s="579"/>
      <c r="AM86" s="579"/>
      <c r="AN86" s="579"/>
      <c r="AO86" s="580"/>
    </row>
    <row r="87" spans="1:41" ht="16.5" customHeight="1">
      <c r="A87" s="571" t="s">
        <v>499</v>
      </c>
      <c r="B87" s="572"/>
      <c r="C87" s="572"/>
      <c r="D87" s="572"/>
      <c r="E87" s="572"/>
      <c r="F87" s="572"/>
      <c r="G87" s="572"/>
      <c r="H87" s="572"/>
      <c r="I87" s="572"/>
      <c r="J87" s="572"/>
      <c r="K87" s="572"/>
      <c r="L87" s="572"/>
      <c r="M87" s="572"/>
      <c r="N87" s="572"/>
      <c r="O87" s="572"/>
      <c r="P87" s="572"/>
      <c r="Q87" s="572"/>
      <c r="R87" s="572"/>
      <c r="S87" s="572"/>
      <c r="T87" s="572"/>
      <c r="U87" s="573"/>
      <c r="V87" s="574" t="s">
        <v>500</v>
      </c>
      <c r="W87" s="574"/>
      <c r="X87" s="574"/>
      <c r="Y87" s="574"/>
      <c r="Z87" s="575">
        <f>Z85-Z86</f>
        <v>205</v>
      </c>
      <c r="AA87" s="576"/>
      <c r="AB87" s="576"/>
      <c r="AC87" s="576"/>
      <c r="AD87" s="576"/>
      <c r="AE87" s="576"/>
      <c r="AF87" s="576"/>
      <c r="AG87" s="577"/>
      <c r="AH87" s="578"/>
      <c r="AI87" s="579"/>
      <c r="AJ87" s="579"/>
      <c r="AK87" s="579"/>
      <c r="AL87" s="579"/>
      <c r="AM87" s="579"/>
      <c r="AN87" s="579"/>
      <c r="AO87" s="580"/>
    </row>
    <row r="88" ht="4.5" customHeight="1"/>
    <row r="89" spans="2:40" ht="15" customHeight="1">
      <c r="B89" s="567" t="s">
        <v>201</v>
      </c>
      <c r="C89" s="567"/>
      <c r="D89" s="567"/>
      <c r="E89" s="567"/>
      <c r="F89" s="567"/>
      <c r="G89" s="567"/>
      <c r="H89" s="567"/>
      <c r="I89" s="567"/>
      <c r="Q89" s="116"/>
      <c r="R89" s="116"/>
      <c r="S89" s="116"/>
      <c r="T89" s="116"/>
      <c r="U89" s="569"/>
      <c r="V89" s="569"/>
      <c r="W89" s="569"/>
      <c r="X89" s="569"/>
      <c r="AI89" s="570"/>
      <c r="AJ89" s="570"/>
      <c r="AK89" s="570"/>
      <c r="AL89" s="570"/>
      <c r="AM89" s="570"/>
      <c r="AN89" s="570"/>
    </row>
    <row r="90" spans="17:40" ht="12.75">
      <c r="Q90" s="116"/>
      <c r="R90" s="116"/>
      <c r="S90" s="116"/>
      <c r="T90" s="116"/>
      <c r="U90" s="566" t="s">
        <v>501</v>
      </c>
      <c r="V90" s="566"/>
      <c r="W90" s="566"/>
      <c r="X90" s="566"/>
      <c r="AI90" s="566" t="s">
        <v>502</v>
      </c>
      <c r="AJ90" s="566"/>
      <c r="AK90" s="566"/>
      <c r="AL90" s="566"/>
      <c r="AM90" s="566"/>
      <c r="AN90" s="566"/>
    </row>
    <row r="91" spans="17:40" ht="4.5" customHeight="1">
      <c r="Q91" s="116"/>
      <c r="R91" s="116"/>
      <c r="S91" s="116"/>
      <c r="T91" s="116"/>
      <c r="U91" s="567"/>
      <c r="V91" s="567"/>
      <c r="W91" s="567"/>
      <c r="X91" s="567"/>
      <c r="AI91" s="568"/>
      <c r="AJ91" s="568"/>
      <c r="AK91" s="568"/>
      <c r="AL91" s="568"/>
      <c r="AM91" s="568"/>
      <c r="AN91" s="568"/>
    </row>
    <row r="92" spans="2:40" ht="12.75">
      <c r="B92" s="567" t="s">
        <v>202</v>
      </c>
      <c r="C92" s="567"/>
      <c r="D92" s="567"/>
      <c r="E92" s="567"/>
      <c r="F92" s="567"/>
      <c r="G92" s="567"/>
      <c r="H92" s="567"/>
      <c r="I92" s="567"/>
      <c r="Q92" s="116"/>
      <c r="R92" s="116"/>
      <c r="S92" s="116"/>
      <c r="T92" s="116"/>
      <c r="U92" s="569"/>
      <c r="V92" s="569"/>
      <c r="W92" s="569"/>
      <c r="X92" s="569"/>
      <c r="AI92" s="570"/>
      <c r="AJ92" s="570"/>
      <c r="AK92" s="570"/>
      <c r="AL92" s="570"/>
      <c r="AM92" s="570"/>
      <c r="AN92" s="570"/>
    </row>
    <row r="93" spans="17:40" ht="12.75">
      <c r="Q93" s="116"/>
      <c r="R93" s="116"/>
      <c r="S93" s="116"/>
      <c r="T93" s="116"/>
      <c r="U93" s="566" t="s">
        <v>501</v>
      </c>
      <c r="V93" s="566"/>
      <c r="W93" s="566"/>
      <c r="X93" s="566"/>
      <c r="AI93" s="566" t="s">
        <v>502</v>
      </c>
      <c r="AJ93" s="566"/>
      <c r="AK93" s="566"/>
      <c r="AL93" s="566"/>
      <c r="AM93" s="566"/>
      <c r="AN93" s="566"/>
    </row>
  </sheetData>
  <mergeCells count="301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B92:I92"/>
    <mergeCell ref="U92:X92"/>
    <mergeCell ref="AI92:AN92"/>
    <mergeCell ref="B89:I89"/>
    <mergeCell ref="U89:X89"/>
    <mergeCell ref="AI89:AN89"/>
    <mergeCell ref="U90:X90"/>
    <mergeCell ref="AI90:AN90"/>
    <mergeCell ref="U93:X93"/>
    <mergeCell ref="AI93:AN93"/>
    <mergeCell ref="U91:X91"/>
    <mergeCell ref="AI91:AN91"/>
  </mergeCells>
  <printOptions/>
  <pageMargins left="0.42" right="0.33" top="0.51" bottom="0.5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2015-11-23T11:56:20Z</cp:lastPrinted>
  <dcterms:created xsi:type="dcterms:W3CDTF">2015-01-28T06:25:50Z</dcterms:created>
  <dcterms:modified xsi:type="dcterms:W3CDTF">2020-11-09T15:50:12Z</dcterms:modified>
  <cp:category/>
  <cp:version/>
  <cp:contentType/>
  <cp:contentStatus/>
</cp:coreProperties>
</file>